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000" windowHeight="7980"/>
  </bookViews>
  <sheets>
    <sheet name="1. üzleti év (2011-2012)" sheetId="1" r:id="rId1"/>
    <sheet name="2-4. üzleti év (2012-2015)" sheetId="4" r:id="rId2"/>
  </sheets>
  <calcPr calcId="144525"/>
</workbook>
</file>

<file path=xl/calcChain.xml><?xml version="1.0" encoding="utf-8"?>
<calcChain xmlns="http://schemas.openxmlformats.org/spreadsheetml/2006/main">
  <c r="C13" i="1" l="1"/>
  <c r="P34" i="4" l="1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C36" i="4"/>
  <c r="C35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C30" i="4"/>
  <c r="D34" i="4"/>
  <c r="E34" i="4"/>
  <c r="F34" i="4"/>
  <c r="G34" i="4"/>
  <c r="H34" i="4"/>
  <c r="I34" i="4"/>
  <c r="J34" i="4"/>
  <c r="K34" i="4"/>
  <c r="L34" i="4"/>
  <c r="M34" i="4"/>
  <c r="N34" i="4"/>
  <c r="O34" i="4"/>
  <c r="C34" i="4"/>
  <c r="Q34" i="4" s="1"/>
  <c r="O39" i="4"/>
  <c r="M39" i="4"/>
  <c r="K39" i="4"/>
  <c r="I39" i="4"/>
  <c r="G39" i="4"/>
  <c r="E39" i="4"/>
  <c r="C39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P16" i="4"/>
  <c r="D16" i="4"/>
  <c r="E16" i="4"/>
  <c r="F16" i="4"/>
  <c r="G16" i="4"/>
  <c r="H16" i="4"/>
  <c r="I16" i="4"/>
  <c r="J16" i="4"/>
  <c r="K16" i="4"/>
  <c r="L16" i="4"/>
  <c r="M16" i="4"/>
  <c r="N16" i="4"/>
  <c r="O16" i="4"/>
  <c r="C16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C15" i="4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C15" i="1"/>
  <c r="D14" i="4"/>
  <c r="C14" i="4"/>
  <c r="Q14" i="4" s="1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C13" i="4"/>
  <c r="J10" i="4"/>
  <c r="D10" i="4"/>
  <c r="E10" i="4"/>
  <c r="F10" i="4"/>
  <c r="G10" i="4"/>
  <c r="H10" i="4"/>
  <c r="I10" i="4"/>
  <c r="K10" i="4"/>
  <c r="L10" i="4"/>
  <c r="M10" i="4"/>
  <c r="N10" i="4"/>
  <c r="O10" i="4"/>
  <c r="P10" i="4"/>
  <c r="C10" i="4"/>
  <c r="Q43" i="4"/>
  <c r="Q42" i="4"/>
  <c r="Q37" i="4"/>
  <c r="Q35" i="4"/>
  <c r="Q29" i="4"/>
  <c r="Q20" i="4"/>
  <c r="Q19" i="4"/>
  <c r="P14" i="4"/>
  <c r="O14" i="4"/>
  <c r="N14" i="4"/>
  <c r="M14" i="4"/>
  <c r="L14" i="4"/>
  <c r="K14" i="4"/>
  <c r="J14" i="4"/>
  <c r="I14" i="4"/>
  <c r="H14" i="4"/>
  <c r="G14" i="4"/>
  <c r="F14" i="4"/>
  <c r="E14" i="4"/>
  <c r="P5" i="4"/>
  <c r="P11" i="4" s="1"/>
  <c r="O5" i="4"/>
  <c r="O44" i="4" s="1"/>
  <c r="N5" i="4"/>
  <c r="N11" i="4" s="1"/>
  <c r="M5" i="4"/>
  <c r="M44" i="4" s="1"/>
  <c r="L5" i="4"/>
  <c r="L11" i="4" s="1"/>
  <c r="K5" i="4"/>
  <c r="K44" i="4" s="1"/>
  <c r="J5" i="4"/>
  <c r="J11" i="4" s="1"/>
  <c r="I5" i="4"/>
  <c r="I44" i="4" s="1"/>
  <c r="H5" i="4"/>
  <c r="G5" i="4"/>
  <c r="G44" i="4" s="1"/>
  <c r="F5" i="4"/>
  <c r="F11" i="4" s="1"/>
  <c r="E5" i="4"/>
  <c r="E44" i="4" s="1"/>
  <c r="D5" i="4"/>
  <c r="D11" i="4" s="1"/>
  <c r="C5" i="4"/>
  <c r="C11" i="4" s="1"/>
  <c r="Q43" i="1"/>
  <c r="Q42" i="1"/>
  <c r="Q37" i="1"/>
  <c r="Q29" i="1"/>
  <c r="O39" i="1"/>
  <c r="J39" i="1"/>
  <c r="C39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C36" i="1"/>
  <c r="C35" i="1"/>
  <c r="C34" i="1"/>
  <c r="Q34" i="1" s="1"/>
  <c r="H30" i="1"/>
  <c r="I30" i="1" s="1"/>
  <c r="J30" i="1" s="1"/>
  <c r="K30" i="1" s="1"/>
  <c r="L30" i="1" s="1"/>
  <c r="M30" i="1" s="1"/>
  <c r="N30" i="1" s="1"/>
  <c r="O30" i="1" s="1"/>
  <c r="P30" i="1" s="1"/>
  <c r="D30" i="1"/>
  <c r="E30" i="1"/>
  <c r="F30" i="1"/>
  <c r="G30" i="1"/>
  <c r="C30" i="1"/>
  <c r="P21" i="1"/>
  <c r="O21" i="1"/>
  <c r="N21" i="1"/>
  <c r="M21" i="1"/>
  <c r="L21" i="1"/>
  <c r="Q20" i="1"/>
  <c r="Q19" i="1"/>
  <c r="K21" i="1"/>
  <c r="L16" i="1"/>
  <c r="M16" i="1"/>
  <c r="N16" i="1"/>
  <c r="O16" i="1"/>
  <c r="P16" i="1"/>
  <c r="K16" i="1"/>
  <c r="D16" i="1"/>
  <c r="E16" i="1"/>
  <c r="F16" i="1"/>
  <c r="G16" i="1"/>
  <c r="H16" i="1"/>
  <c r="I16" i="1"/>
  <c r="J16" i="1"/>
  <c r="C16" i="1"/>
  <c r="F14" i="1"/>
  <c r="G14" i="1"/>
  <c r="H14" i="1"/>
  <c r="I14" i="1"/>
  <c r="J14" i="1"/>
  <c r="K14" i="1"/>
  <c r="L14" i="1"/>
  <c r="M14" i="1"/>
  <c r="N14" i="1"/>
  <c r="O14" i="1"/>
  <c r="P14" i="1"/>
  <c r="E14" i="1"/>
  <c r="D14" i="1"/>
  <c r="C14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C10" i="1"/>
  <c r="D5" i="1"/>
  <c r="D11" i="1" s="1"/>
  <c r="E5" i="1"/>
  <c r="E11" i="1" s="1"/>
  <c r="F5" i="1"/>
  <c r="F11" i="1" s="1"/>
  <c r="G5" i="1"/>
  <c r="H5" i="1"/>
  <c r="H11" i="1" s="1"/>
  <c r="I5" i="1"/>
  <c r="I11" i="1" s="1"/>
  <c r="J5" i="1"/>
  <c r="J11" i="1" s="1"/>
  <c r="K5" i="1"/>
  <c r="L5" i="1"/>
  <c r="L11" i="1" s="1"/>
  <c r="L24" i="1" s="1"/>
  <c r="M5" i="1"/>
  <c r="M11" i="1" s="1"/>
  <c r="M24" i="1" s="1"/>
  <c r="N5" i="1"/>
  <c r="N11" i="1" s="1"/>
  <c r="N24" i="1" s="1"/>
  <c r="O5" i="1"/>
  <c r="P5" i="1"/>
  <c r="P11" i="1" s="1"/>
  <c r="P24" i="1" s="1"/>
  <c r="C5" i="1"/>
  <c r="C11" i="1" s="1"/>
  <c r="I24" i="1" l="1"/>
  <c r="E24" i="1"/>
  <c r="C24" i="4"/>
  <c r="O11" i="1"/>
  <c r="O24" i="1" s="1"/>
  <c r="K11" i="1"/>
  <c r="K24" i="1" s="1"/>
  <c r="G11" i="1"/>
  <c r="Q11" i="1" s="1"/>
  <c r="Q36" i="1"/>
  <c r="Q39" i="1"/>
  <c r="H11" i="4"/>
  <c r="H24" i="4" s="1"/>
  <c r="H50" i="4" s="1"/>
  <c r="H24" i="1"/>
  <c r="D24" i="1"/>
  <c r="J24" i="1"/>
  <c r="F24" i="1"/>
  <c r="Q35" i="1"/>
  <c r="C44" i="4"/>
  <c r="Q39" i="4"/>
  <c r="Q36" i="4"/>
  <c r="C44" i="1"/>
  <c r="O44" i="1"/>
  <c r="O47" i="1" s="1"/>
  <c r="M44" i="1"/>
  <c r="K44" i="1"/>
  <c r="I44" i="1"/>
  <c r="I47" i="1" s="1"/>
  <c r="G44" i="1"/>
  <c r="G47" i="1" s="1"/>
  <c r="E44" i="1"/>
  <c r="E47" i="1" s="1"/>
  <c r="M47" i="1"/>
  <c r="K47" i="1"/>
  <c r="C24" i="1"/>
  <c r="Q30" i="1"/>
  <c r="P44" i="1"/>
  <c r="P47" i="1" s="1"/>
  <c r="N44" i="1"/>
  <c r="L44" i="1"/>
  <c r="J44" i="1"/>
  <c r="J47" i="1" s="1"/>
  <c r="H44" i="1"/>
  <c r="H47" i="1" s="1"/>
  <c r="F44" i="1"/>
  <c r="F47" i="1" s="1"/>
  <c r="D44" i="1"/>
  <c r="D47" i="1" s="1"/>
  <c r="N47" i="1"/>
  <c r="L47" i="1"/>
  <c r="Q13" i="4"/>
  <c r="Q15" i="4"/>
  <c r="D24" i="4"/>
  <c r="F24" i="4"/>
  <c r="J24" i="4"/>
  <c r="L24" i="4"/>
  <c r="N24" i="4"/>
  <c r="P24" i="4"/>
  <c r="C47" i="4"/>
  <c r="C49" i="4" s="1"/>
  <c r="E47" i="4"/>
  <c r="G47" i="4"/>
  <c r="E11" i="4"/>
  <c r="E24" i="4" s="1"/>
  <c r="E50" i="4" s="1"/>
  <c r="G11" i="4"/>
  <c r="G24" i="4" s="1"/>
  <c r="G50" i="4" s="1"/>
  <c r="I11" i="4"/>
  <c r="I24" i="4" s="1"/>
  <c r="K11" i="4"/>
  <c r="K24" i="4" s="1"/>
  <c r="M11" i="4"/>
  <c r="M24" i="4" s="1"/>
  <c r="O11" i="4"/>
  <c r="O24" i="4" s="1"/>
  <c r="Q16" i="4"/>
  <c r="Q21" i="4"/>
  <c r="Q22" i="4" s="1"/>
  <c r="D44" i="4"/>
  <c r="F44" i="4"/>
  <c r="F47" i="4" s="1"/>
  <c r="H44" i="4"/>
  <c r="H47" i="4" s="1"/>
  <c r="J44" i="4"/>
  <c r="L44" i="4"/>
  <c r="N44" i="4"/>
  <c r="P44" i="4"/>
  <c r="Q13" i="1"/>
  <c r="Q14" i="1"/>
  <c r="Q15" i="1"/>
  <c r="Q16" i="1"/>
  <c r="Q21" i="1"/>
  <c r="Q22" i="1" s="1"/>
  <c r="G24" i="1" l="1"/>
  <c r="F50" i="4"/>
  <c r="Q17" i="1"/>
  <c r="Q24" i="1" s="1"/>
  <c r="C50" i="4"/>
  <c r="Q44" i="1"/>
  <c r="C47" i="1"/>
  <c r="Q47" i="1" s="1"/>
  <c r="Q17" i="4"/>
  <c r="Q44" i="4"/>
  <c r="I47" i="4"/>
  <c r="I50" i="4" s="1"/>
  <c r="D47" i="4"/>
  <c r="D49" i="4" s="1"/>
  <c r="Q11" i="4"/>
  <c r="D50" i="4" l="1"/>
  <c r="E49" i="4"/>
  <c r="F49" i="4" s="1"/>
  <c r="G49" i="4" s="1"/>
  <c r="H49" i="4" s="1"/>
  <c r="I49" i="4" s="1"/>
  <c r="C49" i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24" i="4"/>
  <c r="J47" i="4"/>
  <c r="J50" i="4" s="1"/>
  <c r="J49" i="4" l="1"/>
  <c r="K47" i="4"/>
  <c r="K50" i="4" s="1"/>
  <c r="K49" i="4" l="1"/>
  <c r="L47" i="4"/>
  <c r="L50" i="4" s="1"/>
  <c r="L49" i="4" l="1"/>
  <c r="M47" i="4"/>
  <c r="M50" i="4" s="1"/>
  <c r="M49" i="4" l="1"/>
  <c r="N47" i="4"/>
  <c r="N50" i="4" s="1"/>
  <c r="N49" i="4" l="1"/>
  <c r="P47" i="4"/>
  <c r="P50" i="4" s="1"/>
  <c r="O47" i="4"/>
  <c r="O50" i="4" s="1"/>
  <c r="Q30" i="4"/>
  <c r="O49" i="4" l="1"/>
  <c r="P49" i="4" s="1"/>
  <c r="Q47" i="4"/>
</calcChain>
</file>

<file path=xl/sharedStrings.xml><?xml version="1.0" encoding="utf-8"?>
<sst xmlns="http://schemas.openxmlformats.org/spreadsheetml/2006/main" count="122" uniqueCount="73">
  <si>
    <t>Napi Látogatószám</t>
  </si>
  <si>
    <t>Tanterem és portálhasználat</t>
  </si>
  <si>
    <t>ÖSSZESEN</t>
  </si>
  <si>
    <t>További bevételek</t>
  </si>
  <si>
    <t>Egyéb források</t>
  </si>
  <si>
    <t>BEVÉTELEK ÖSSZESEN</t>
  </si>
  <si>
    <t xml:space="preserve">Általános kiadások </t>
  </si>
  <si>
    <t>Továbbá: Nemzetközi terjeszkedés, közhasznúsági funkciókból származó egyéb bevételek</t>
  </si>
  <si>
    <t>Havi bevétel a tantermekből:</t>
  </si>
  <si>
    <t>∑</t>
  </si>
  <si>
    <t xml:space="preserve">     Napi hallgatók száma (v. tanterem használó)</t>
  </si>
  <si>
    <t xml:space="preserve">     Napi tanóra / hallgató</t>
  </si>
  <si>
    <t xml:space="preserve">     Átl. Óradíj</t>
  </si>
  <si>
    <t xml:space="preserve">     Jutalék %</t>
  </si>
  <si>
    <t xml:space="preserve">     Intézményi regisztrációk  össz. (db)</t>
  </si>
  <si>
    <t xml:space="preserve">     Intézményi havidíjak (átl. 8.000 Ft / hó)</t>
  </si>
  <si>
    <t xml:space="preserve">     PR cikkek, rovat szponzorációk</t>
  </si>
  <si>
    <t xml:space="preserve">     Prémium funkciók (sms emlékeztető, jegyzet letöltések, hirdetés kiemelés, videó visszajátszás, stb.)</t>
  </si>
  <si>
    <t xml:space="preserve">     Befektetésből</t>
  </si>
  <si>
    <t xml:space="preserve">     Pályázati lehívások</t>
  </si>
  <si>
    <t xml:space="preserve">     Adományok, támogatások, mecenatúra</t>
  </si>
  <si>
    <t xml:space="preserve">     Folyamatos szoftverfejlesztés</t>
  </si>
  <si>
    <t xml:space="preserve">     Szerverköltségek</t>
  </si>
  <si>
    <t xml:space="preserve">     Munkabér költsége</t>
  </si>
  <si>
    <t xml:space="preserve">     Kommunikáció</t>
  </si>
  <si>
    <t xml:space="preserve">     Iroda- és egyéb ügyviteli ktg.</t>
  </si>
  <si>
    <t xml:space="preserve">     Utazás, reprezentáció</t>
  </si>
  <si>
    <t xml:space="preserve">     Online hirdetés</t>
  </si>
  <si>
    <t xml:space="preserve">     Egyéb hirdetési felületeken</t>
  </si>
  <si>
    <t xml:space="preserve">     Alkalmazottak / alvállalkozók száma</t>
  </si>
  <si>
    <t>Továbbá: saját telephely vásárlása</t>
  </si>
  <si>
    <t>KIADÁSOK ÖSSZESEN</t>
  </si>
  <si>
    <t xml:space="preserve">     Irodai- és informatikai felszerelés</t>
  </si>
  <si>
    <t>DIGITANÁR.HU BEVÉTELEK</t>
  </si>
  <si>
    <t xml:space="preserve">     Piacépítés, Roadshow (intézmény/tanárlátogatás)</t>
  </si>
  <si>
    <t>DIGITANÁR.HU KIADÁSOK</t>
  </si>
  <si>
    <t>Menedzsment és alkalmazottak</t>
  </si>
  <si>
    <t>Piacra lépés, PR, marketing</t>
  </si>
  <si>
    <t>Beruházás-jellegű kiadások</t>
  </si>
  <si>
    <t>RENDELKEZÉSRE ÁLLÓ PÉNZESZKÖZÖK:</t>
  </si>
  <si>
    <t>Továbbá: az üzletrész megszerzésének költsége a befektető(k) részéről</t>
  </si>
  <si>
    <t>2012. Q3</t>
  </si>
  <si>
    <t>2012. Q4</t>
  </si>
  <si>
    <t>2013. Q3</t>
  </si>
  <si>
    <t>2013. Q4</t>
  </si>
  <si>
    <t>2014. Q3</t>
  </si>
  <si>
    <t>2014. Q4</t>
  </si>
  <si>
    <t>2015. Q3</t>
  </si>
  <si>
    <t>2015. Q4</t>
  </si>
  <si>
    <t>2013. Q1</t>
  </si>
  <si>
    <t>2013. Q2</t>
  </si>
  <si>
    <t>2014. Q1</t>
  </si>
  <si>
    <t>2014. Q2</t>
  </si>
  <si>
    <t>2015. Q1</t>
  </si>
  <si>
    <t>2015. Q2</t>
  </si>
  <si>
    <t xml:space="preserve">     Intézményi havidíjak (átl. 30.000 Ft / hó)</t>
  </si>
  <si>
    <t xml:space="preserve">     Bannerek, online hirdetések (3Ft / db)</t>
  </si>
  <si>
    <t xml:space="preserve">     Bannerek, online hirdetések (8Ft / db)</t>
  </si>
  <si>
    <t>2012-2015 ÖSSZESEN</t>
  </si>
  <si>
    <t xml:space="preserve">     Piacfejlesztés </t>
  </si>
  <si>
    <t>Továbbá: rendelkezésre álló Enterprise Limited partnerkapcsolatok + pozitív PR visszhang</t>
  </si>
  <si>
    <t>DIGITANÁR ÜZLETI TERV I.                                                              (2012-2015, pesszimista adatok)</t>
  </si>
  <si>
    <t xml:space="preserve">     Napi hallgatók száma (e-tanterem használó)</t>
  </si>
  <si>
    <t xml:space="preserve">     Átl. bérktg / foglalkoztatott</t>
  </si>
  <si>
    <t xml:space="preserve">     Átl. Bérktg / foglalkoztatott</t>
  </si>
  <si>
    <t>Cash-flow balance</t>
  </si>
  <si>
    <t xml:space="preserve">     Intézményi egyszeri regisztrációs ktg. (online diákiroda, saját pub. felület, stb.)</t>
  </si>
  <si>
    <t>Továbbá: Nemzetközi terjeszkedés, közhasznúsági funkciókból származó pályázati források és egyéb bevételek</t>
  </si>
  <si>
    <t>DIGITANÁR ÜZLETI TERV I.                                                                                            (1. ütem - 2011.05 -2012.06, Piacra lépés)</t>
  </si>
  <si>
    <t>ADOTT HAVI BEVÉTEL ÖSSZESEN:</t>
  </si>
  <si>
    <t>HAVI BEVÉTEL A TANTERMEKBŐL:</t>
  </si>
  <si>
    <t>HAVI KIADÁSOK ÖSSZESEN:</t>
  </si>
  <si>
    <t>HAVI CASHFLOW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</si>
</sst>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rgb="FF007434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4"/>
      <color rgb="FF00B05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1"/>
      <color rgb="FF007434"/>
      <name val="Calibri"/>
      <family val="2"/>
      <charset val="238"/>
      <scheme val="minor"/>
    </font>
    <font>
      <sz val="9"/>
      <color theme="0" tint="-4.9989318521683403E-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lightUp">
        <bgColor rgb="FFF7CDF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4" fillId="0" borderId="0" xfId="0" applyFont="1"/>
    <xf numFmtId="0" fontId="0" fillId="4" borderId="0" xfId="0" applyFill="1"/>
    <xf numFmtId="3" fontId="1" fillId="4" borderId="0" xfId="0" applyNumberFormat="1" applyFont="1" applyFill="1"/>
    <xf numFmtId="0" fontId="3" fillId="0" borderId="0" xfId="0" applyFont="1" applyFill="1" applyAlignment="1">
      <alignment horizontal="right"/>
    </xf>
    <xf numFmtId="0" fontId="2" fillId="0" borderId="6" xfId="0" applyFont="1" applyBorder="1"/>
    <xf numFmtId="3" fontId="2" fillId="0" borderId="0" xfId="0" applyNumberFormat="1" applyFont="1" applyBorder="1"/>
    <xf numFmtId="0" fontId="3" fillId="4" borderId="7" xfId="0" applyFont="1" applyFill="1" applyBorder="1" applyAlignment="1">
      <alignment horizontal="right"/>
    </xf>
    <xf numFmtId="0" fontId="4" fillId="0" borderId="6" xfId="0" applyFont="1" applyBorder="1"/>
    <xf numFmtId="3" fontId="4" fillId="0" borderId="0" xfId="0" applyNumberFormat="1" applyFont="1" applyBorder="1"/>
    <xf numFmtId="0" fontId="6" fillId="4" borderId="7" xfId="0" applyFont="1" applyFill="1" applyBorder="1" applyAlignment="1">
      <alignment horizontal="right"/>
    </xf>
    <xf numFmtId="0" fontId="4" fillId="0" borderId="0" xfId="0" applyFont="1" applyBorder="1"/>
    <xf numFmtId="0" fontId="1" fillId="4" borderId="6" xfId="0" applyFont="1" applyFill="1" applyBorder="1"/>
    <xf numFmtId="3" fontId="3" fillId="4" borderId="0" xfId="0" applyNumberFormat="1" applyFont="1" applyFill="1" applyBorder="1"/>
    <xf numFmtId="3" fontId="7" fillId="4" borderId="7" xfId="0" applyNumberFormat="1" applyFont="1" applyFill="1" applyBorder="1" applyAlignment="1">
      <alignment horizontal="right"/>
    </xf>
    <xf numFmtId="3" fontId="0" fillId="0" borderId="6" xfId="0" applyNumberFormat="1" applyBorder="1"/>
    <xf numFmtId="3" fontId="0" fillId="0" borderId="0" xfId="0" applyNumberFormat="1" applyBorder="1"/>
    <xf numFmtId="3" fontId="3" fillId="4" borderId="7" xfId="0" applyNumberFormat="1" applyFont="1" applyFill="1" applyBorder="1" applyAlignment="1">
      <alignment horizontal="right"/>
    </xf>
    <xf numFmtId="3" fontId="0" fillId="0" borderId="6" xfId="0" applyNumberFormat="1" applyBorder="1" applyAlignment="1"/>
    <xf numFmtId="3" fontId="0" fillId="0" borderId="0" xfId="0" applyNumberFormat="1" applyBorder="1" applyAlignment="1"/>
    <xf numFmtId="0" fontId="0" fillId="4" borderId="6" xfId="0" applyFill="1" applyBorder="1"/>
    <xf numFmtId="0" fontId="0" fillId="4" borderId="0" xfId="0" applyFill="1" applyBorder="1"/>
    <xf numFmtId="3" fontId="3" fillId="4" borderId="8" xfId="0" applyNumberFormat="1" applyFont="1" applyFill="1" applyBorder="1" applyAlignment="1"/>
    <xf numFmtId="3" fontId="3" fillId="4" borderId="9" xfId="0" applyNumberFormat="1" applyFont="1" applyFill="1" applyBorder="1"/>
    <xf numFmtId="3" fontId="8" fillId="4" borderId="1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2" fillId="4" borderId="7" xfId="0" applyNumberFormat="1" applyFont="1" applyFill="1" applyBorder="1" applyAlignment="1">
      <alignment horizontal="right"/>
    </xf>
    <xf numFmtId="14" fontId="0" fillId="2" borderId="4" xfId="0" applyNumberFormat="1" applyFill="1" applyBorder="1"/>
    <xf numFmtId="0" fontId="11" fillId="2" borderId="1" xfId="0" applyFont="1" applyFill="1" applyBorder="1"/>
    <xf numFmtId="0" fontId="0" fillId="2" borderId="2" xfId="0" applyFill="1" applyBorder="1"/>
    <xf numFmtId="0" fontId="11" fillId="2" borderId="3" xfId="0" applyFont="1" applyFill="1" applyBorder="1"/>
    <xf numFmtId="0" fontId="0" fillId="2" borderId="4" xfId="0" applyFill="1" applyBorder="1"/>
    <xf numFmtId="14" fontId="0" fillId="2" borderId="0" xfId="0" applyNumberFormat="1" applyFill="1" applyBorder="1"/>
    <xf numFmtId="14" fontId="0" fillId="2" borderId="5" xfId="0" applyNumberFormat="1" applyFill="1" applyBorder="1"/>
    <xf numFmtId="3" fontId="4" fillId="0" borderId="7" xfId="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13" fillId="2" borderId="3" xfId="0" applyFont="1" applyFill="1" applyBorder="1"/>
    <xf numFmtId="0" fontId="13" fillId="2" borderId="6" xfId="0" applyFont="1" applyFill="1" applyBorder="1"/>
    <xf numFmtId="0" fontId="5" fillId="0" borderId="6" xfId="0" applyFont="1" applyFill="1" applyBorder="1"/>
    <xf numFmtId="3" fontId="0" fillId="0" borderId="0" xfId="0" applyNumberFormat="1" applyFont="1" applyBorder="1"/>
    <xf numFmtId="3" fontId="3" fillId="4" borderId="7" xfId="0" applyNumberFormat="1" applyFont="1" applyFill="1" applyBorder="1"/>
    <xf numFmtId="3" fontId="0" fillId="2" borderId="0" xfId="0" applyNumberFormat="1" applyFont="1" applyFill="1" applyBorder="1"/>
    <xf numFmtId="3" fontId="0" fillId="4" borderId="7" xfId="0" applyNumberFormat="1" applyFont="1" applyFill="1" applyBorder="1"/>
    <xf numFmtId="0" fontId="10" fillId="0" borderId="6" xfId="0" applyFont="1" applyFill="1" applyBorder="1"/>
    <xf numFmtId="0" fontId="9" fillId="0" borderId="6" xfId="0" applyFont="1" applyFill="1" applyBorder="1"/>
    <xf numFmtId="0" fontId="5" fillId="0" borderId="8" xfId="0" applyFont="1" applyFill="1" applyBorder="1"/>
    <xf numFmtId="3" fontId="0" fillId="0" borderId="9" xfId="0" applyNumberFormat="1" applyFont="1" applyBorder="1"/>
    <xf numFmtId="3" fontId="0" fillId="2" borderId="4" xfId="0" applyNumberFormat="1" applyFont="1" applyFill="1" applyBorder="1"/>
    <xf numFmtId="3" fontId="0" fillId="2" borderId="5" xfId="0" applyNumberFormat="1" applyFont="1" applyFill="1" applyBorder="1"/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3" fontId="14" fillId="4" borderId="0" xfId="0" applyNumberFormat="1" applyFont="1" applyFill="1"/>
    <xf numFmtId="0" fontId="15" fillId="4" borderId="0" xfId="0" applyFont="1" applyFill="1"/>
    <xf numFmtId="3" fontId="4" fillId="2" borderId="0" xfId="0" applyNumberFormat="1" applyFont="1" applyFill="1" applyBorder="1"/>
    <xf numFmtId="0" fontId="4" fillId="2" borderId="0" xfId="0" applyFont="1" applyFill="1" applyBorder="1"/>
    <xf numFmtId="3" fontId="4" fillId="2" borderId="9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4" fillId="0" borderId="9" xfId="0" applyNumberFormat="1" applyFont="1" applyFill="1" applyBorder="1"/>
    <xf numFmtId="14" fontId="0" fillId="2" borderId="4" xfId="0" applyNumberFormat="1" applyFill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3" fontId="4" fillId="2" borderId="7" xfId="0" applyNumberFormat="1" applyFont="1" applyFill="1" applyBorder="1"/>
    <xf numFmtId="14" fontId="16" fillId="2" borderId="4" xfId="0" applyNumberFormat="1" applyFont="1" applyFill="1" applyBorder="1"/>
    <xf numFmtId="14" fontId="16" fillId="2" borderId="5" xfId="0" applyNumberFormat="1" applyFont="1" applyFill="1" applyBorder="1"/>
    <xf numFmtId="0" fontId="0" fillId="4" borderId="4" xfId="0" applyFill="1" applyBorder="1"/>
    <xf numFmtId="0" fontId="17" fillId="4" borderId="0" xfId="0" applyFont="1" applyFill="1"/>
    <xf numFmtId="3" fontId="17" fillId="4" borderId="0" xfId="0" applyNumberFormat="1" applyFont="1" applyFill="1"/>
    <xf numFmtId="0" fontId="18" fillId="4" borderId="0" xfId="0" applyFont="1" applyFill="1"/>
    <xf numFmtId="3" fontId="0" fillId="2" borderId="9" xfId="0" applyNumberFormat="1" applyFont="1" applyFill="1" applyBorder="1"/>
    <xf numFmtId="3" fontId="2" fillId="2" borderId="0" xfId="0" applyNumberFormat="1" applyFont="1" applyFill="1" applyBorder="1"/>
    <xf numFmtId="14" fontId="2" fillId="2" borderId="4" xfId="0" applyNumberFormat="1" applyFont="1" applyFill="1" applyBorder="1" applyAlignment="1">
      <alignment horizontal="right"/>
    </xf>
    <xf numFmtId="14" fontId="2" fillId="3" borderId="4" xfId="0" applyNumberFormat="1" applyFont="1" applyFill="1" applyBorder="1" applyAlignment="1">
      <alignment horizontal="right"/>
    </xf>
    <xf numFmtId="14" fontId="2" fillId="3" borderId="5" xfId="0" applyNumberFormat="1" applyFont="1" applyFill="1" applyBorder="1" applyAlignment="1">
      <alignment horizontal="right"/>
    </xf>
    <xf numFmtId="14" fontId="2" fillId="2" borderId="5" xfId="0" applyNumberFormat="1" applyFont="1" applyFill="1" applyBorder="1" applyAlignment="1">
      <alignment horizontal="right"/>
    </xf>
    <xf numFmtId="3" fontId="0" fillId="2" borderId="0" xfId="0" applyNumberFormat="1" applyFill="1" applyBorder="1"/>
    <xf numFmtId="3" fontId="0" fillId="2" borderId="7" xfId="0" applyNumberFormat="1" applyFill="1" applyBorder="1"/>
    <xf numFmtId="3" fontId="0" fillId="2" borderId="0" xfId="0" applyNumberFormat="1" applyFill="1" applyBorder="1" applyAlignment="1"/>
    <xf numFmtId="3" fontId="0" fillId="5" borderId="0" xfId="0" applyNumberFormat="1" applyFill="1" applyBorder="1" applyAlignment="1"/>
    <xf numFmtId="3" fontId="1" fillId="4" borderId="7" xfId="0" applyNumberFormat="1" applyFont="1" applyFill="1" applyBorder="1" applyAlignment="1">
      <alignment horizontal="right"/>
    </xf>
    <xf numFmtId="0" fontId="1" fillId="4" borderId="7" xfId="0" applyFont="1" applyFill="1" applyBorder="1" applyAlignment="1">
      <alignment horizontal="right"/>
    </xf>
    <xf numFmtId="3" fontId="1" fillId="4" borderId="7" xfId="0" applyNumberFormat="1" applyFont="1" applyFill="1" applyBorder="1"/>
    <xf numFmtId="3" fontId="2" fillId="4" borderId="7" xfId="0" applyNumberFormat="1" applyFont="1" applyFill="1" applyBorder="1"/>
    <xf numFmtId="3" fontId="1" fillId="4" borderId="9" xfId="0" applyNumberFormat="1" applyFont="1" applyFill="1" applyBorder="1"/>
    <xf numFmtId="3" fontId="19" fillId="6" borderId="8" xfId="0" applyNumberFormat="1" applyFont="1" applyFill="1" applyBorder="1" applyAlignment="1">
      <alignment horizontal="center"/>
    </xf>
    <xf numFmtId="3" fontId="19" fillId="6" borderId="9" xfId="0" applyNumberFormat="1" applyFont="1" applyFill="1" applyBorder="1" applyAlignment="1">
      <alignment horizontal="center"/>
    </xf>
    <xf numFmtId="3" fontId="19" fillId="6" borderId="10" xfId="0" applyNumberFormat="1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0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2" fillId="2" borderId="7" xfId="0" applyNumberFormat="1" applyFont="1" applyFill="1" applyBorder="1"/>
    <xf numFmtId="0" fontId="4" fillId="2" borderId="7" xfId="0" applyFont="1" applyFill="1" applyBorder="1"/>
    <xf numFmtId="3" fontId="4" fillId="2" borderId="10" xfId="0" applyNumberFormat="1" applyFont="1" applyFill="1" applyBorder="1"/>
    <xf numFmtId="3" fontId="1" fillId="4" borderId="8" xfId="0" applyNumberFormat="1" applyFont="1" applyFill="1" applyBorder="1" applyAlignment="1"/>
    <xf numFmtId="3" fontId="1" fillId="4" borderId="0" xfId="0" applyNumberFormat="1" applyFont="1" applyFill="1" applyBorder="1"/>
    <xf numFmtId="3" fontId="0" fillId="2" borderId="7" xfId="0" applyNumberFormat="1" applyFont="1" applyFill="1" applyBorder="1"/>
    <xf numFmtId="3" fontId="0" fillId="2" borderId="10" xfId="0" applyNumberFormat="1" applyFont="1" applyFill="1" applyBorder="1"/>
    <xf numFmtId="3" fontId="21" fillId="4" borderId="0" xfId="0" applyNumberFormat="1" applyFont="1" applyFill="1"/>
    <xf numFmtId="0" fontId="20" fillId="6" borderId="6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F7CDF4"/>
      <color rgb="FF007434"/>
      <color rgb="FFFFFB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990600</xdr:colOff>
      <xdr:row>0</xdr:row>
      <xdr:rowOff>371475</xdr:rowOff>
    </xdr:to>
    <xdr:pic>
      <xdr:nvPicPr>
        <xdr:cNvPr id="2" name="Kép 1" descr="dt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1238250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990600</xdr:colOff>
      <xdr:row>0</xdr:row>
      <xdr:rowOff>371475</xdr:rowOff>
    </xdr:to>
    <xdr:pic>
      <xdr:nvPicPr>
        <xdr:cNvPr id="2" name="Kép 1" descr="dt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123825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0"/>
  <sheetViews>
    <sheetView tabSelected="1" workbookViewId="0">
      <selection activeCell="L50" sqref="L50"/>
    </sheetView>
  </sheetViews>
  <sheetFormatPr defaultRowHeight="15" x14ac:dyDescent="0.25"/>
  <cols>
    <col min="1" max="1" width="4.42578125" customWidth="1"/>
    <col min="2" max="2" width="44" customWidth="1"/>
    <col min="3" max="16" width="10.7109375" customWidth="1"/>
    <col min="17" max="17" width="15.42578125" customWidth="1"/>
  </cols>
  <sheetData>
    <row r="1" spans="2:17" ht="30.75" customHeight="1" x14ac:dyDescent="0.25">
      <c r="C1" s="94" t="s">
        <v>68</v>
      </c>
      <c r="D1" s="94"/>
      <c r="E1" s="94"/>
      <c r="F1" s="94"/>
      <c r="G1" s="94"/>
      <c r="H1" s="94"/>
    </row>
    <row r="2" spans="2:17" ht="21" x14ac:dyDescent="0.35">
      <c r="B2" s="30" t="s">
        <v>33</v>
      </c>
      <c r="C2" s="63">
        <v>40664</v>
      </c>
      <c r="D2" s="63">
        <v>40695</v>
      </c>
      <c r="E2" s="63">
        <v>40725</v>
      </c>
      <c r="F2" s="63">
        <v>40756</v>
      </c>
      <c r="G2" s="63">
        <v>40787</v>
      </c>
      <c r="H2" s="63">
        <v>40817</v>
      </c>
      <c r="I2" s="63">
        <v>40848</v>
      </c>
      <c r="J2" s="63">
        <v>40878</v>
      </c>
      <c r="K2" s="63">
        <v>40909</v>
      </c>
      <c r="L2" s="63">
        <v>40940</v>
      </c>
      <c r="M2" s="63">
        <v>40969</v>
      </c>
      <c r="N2" s="63">
        <v>41000</v>
      </c>
      <c r="O2" s="63">
        <v>41030</v>
      </c>
      <c r="P2" s="64">
        <v>41061</v>
      </c>
      <c r="Q2" s="51" t="s">
        <v>2</v>
      </c>
    </row>
    <row r="3" spans="2:17" ht="18.75" x14ac:dyDescent="0.3">
      <c r="B3" s="37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33"/>
      <c r="Q3" s="7"/>
    </row>
    <row r="4" spans="2:17" x14ac:dyDescent="0.25">
      <c r="B4" s="5" t="s">
        <v>0</v>
      </c>
      <c r="C4" s="6">
        <v>3000</v>
      </c>
      <c r="D4" s="70">
        <v>5000</v>
      </c>
      <c r="E4" s="6">
        <v>10000</v>
      </c>
      <c r="F4" s="70">
        <v>15000</v>
      </c>
      <c r="G4" s="6">
        <v>30000</v>
      </c>
      <c r="H4" s="70">
        <v>35000</v>
      </c>
      <c r="I4" s="6">
        <v>40000</v>
      </c>
      <c r="J4" s="70">
        <v>45000</v>
      </c>
      <c r="K4" s="6">
        <v>50000</v>
      </c>
      <c r="L4" s="70">
        <v>55000</v>
      </c>
      <c r="M4" s="6">
        <v>60000</v>
      </c>
      <c r="N4" s="70">
        <v>65000</v>
      </c>
      <c r="O4" s="6">
        <v>70000</v>
      </c>
      <c r="P4" s="103">
        <v>75000</v>
      </c>
      <c r="Q4" s="7"/>
    </row>
    <row r="5" spans="2:17" s="1" customFormat="1" ht="12" x14ac:dyDescent="0.2">
      <c r="B5" s="8" t="s">
        <v>62</v>
      </c>
      <c r="C5" s="9">
        <f>C4/100</f>
        <v>30</v>
      </c>
      <c r="D5" s="54">
        <f t="shared" ref="D5:P5" si="0">D4/100</f>
        <v>50</v>
      </c>
      <c r="E5" s="9">
        <f t="shared" si="0"/>
        <v>100</v>
      </c>
      <c r="F5" s="54">
        <f t="shared" si="0"/>
        <v>150</v>
      </c>
      <c r="G5" s="9">
        <f t="shared" si="0"/>
        <v>300</v>
      </c>
      <c r="H5" s="54">
        <f t="shared" si="0"/>
        <v>350</v>
      </c>
      <c r="I5" s="9">
        <f t="shared" si="0"/>
        <v>400</v>
      </c>
      <c r="J5" s="54">
        <f t="shared" si="0"/>
        <v>450</v>
      </c>
      <c r="K5" s="9">
        <f t="shared" si="0"/>
        <v>500</v>
      </c>
      <c r="L5" s="54">
        <f t="shared" si="0"/>
        <v>550</v>
      </c>
      <c r="M5" s="9">
        <f t="shared" si="0"/>
        <v>600</v>
      </c>
      <c r="N5" s="54">
        <f t="shared" si="0"/>
        <v>650</v>
      </c>
      <c r="O5" s="9">
        <f t="shared" si="0"/>
        <v>700</v>
      </c>
      <c r="P5" s="62">
        <f t="shared" si="0"/>
        <v>750</v>
      </c>
      <c r="Q5" s="10"/>
    </row>
    <row r="6" spans="2:17" s="1" customFormat="1" ht="12" x14ac:dyDescent="0.2">
      <c r="B6" s="8" t="s">
        <v>11</v>
      </c>
      <c r="C6" s="9">
        <v>1</v>
      </c>
      <c r="D6" s="55">
        <v>1</v>
      </c>
      <c r="E6" s="11">
        <v>1</v>
      </c>
      <c r="F6" s="55">
        <v>2</v>
      </c>
      <c r="G6" s="11">
        <v>2</v>
      </c>
      <c r="H6" s="55">
        <v>2</v>
      </c>
      <c r="I6" s="11">
        <v>2</v>
      </c>
      <c r="J6" s="55">
        <v>2</v>
      </c>
      <c r="K6" s="11">
        <v>2</v>
      </c>
      <c r="L6" s="55">
        <v>2</v>
      </c>
      <c r="M6" s="11">
        <v>3</v>
      </c>
      <c r="N6" s="55">
        <v>3</v>
      </c>
      <c r="O6" s="11">
        <v>3</v>
      </c>
      <c r="P6" s="104">
        <v>3</v>
      </c>
      <c r="Q6" s="10"/>
    </row>
    <row r="7" spans="2:17" s="1" customFormat="1" ht="12" x14ac:dyDescent="0.2">
      <c r="B7" s="8" t="s">
        <v>12</v>
      </c>
      <c r="C7" s="9">
        <v>2400</v>
      </c>
      <c r="D7" s="54">
        <v>2400</v>
      </c>
      <c r="E7" s="9">
        <v>2400</v>
      </c>
      <c r="F7" s="54">
        <v>2400</v>
      </c>
      <c r="G7" s="9">
        <v>2400</v>
      </c>
      <c r="H7" s="54">
        <v>2400</v>
      </c>
      <c r="I7" s="9">
        <v>2400</v>
      </c>
      <c r="J7" s="54">
        <v>2400</v>
      </c>
      <c r="K7" s="9">
        <v>2000</v>
      </c>
      <c r="L7" s="54">
        <v>2000</v>
      </c>
      <c r="M7" s="9">
        <v>2000</v>
      </c>
      <c r="N7" s="54">
        <v>2000</v>
      </c>
      <c r="O7" s="9">
        <v>2000</v>
      </c>
      <c r="P7" s="62">
        <v>2000</v>
      </c>
      <c r="Q7" s="10"/>
    </row>
    <row r="8" spans="2:17" s="1" customFormat="1" ht="12" x14ac:dyDescent="0.2">
      <c r="B8" s="8" t="s">
        <v>13</v>
      </c>
      <c r="C8" s="9">
        <v>4</v>
      </c>
      <c r="D8" s="54">
        <v>4</v>
      </c>
      <c r="E8" s="9">
        <v>4</v>
      </c>
      <c r="F8" s="54">
        <v>4</v>
      </c>
      <c r="G8" s="9">
        <v>4</v>
      </c>
      <c r="H8" s="54">
        <v>4</v>
      </c>
      <c r="I8" s="9">
        <v>4</v>
      </c>
      <c r="J8" s="54">
        <v>4</v>
      </c>
      <c r="K8" s="9">
        <v>5</v>
      </c>
      <c r="L8" s="54">
        <v>5</v>
      </c>
      <c r="M8" s="9">
        <v>5</v>
      </c>
      <c r="N8" s="54">
        <v>5</v>
      </c>
      <c r="O8" s="9">
        <v>5</v>
      </c>
      <c r="P8" s="62">
        <v>5</v>
      </c>
      <c r="Q8" s="10"/>
    </row>
    <row r="9" spans="2:17" x14ac:dyDescent="0.25">
      <c r="B9" s="8" t="s">
        <v>14</v>
      </c>
      <c r="C9" s="9">
        <v>3</v>
      </c>
      <c r="D9" s="55">
        <v>6</v>
      </c>
      <c r="E9" s="11">
        <v>20</v>
      </c>
      <c r="F9" s="55">
        <v>40</v>
      </c>
      <c r="G9" s="11">
        <v>60</v>
      </c>
      <c r="H9" s="55">
        <v>80</v>
      </c>
      <c r="I9" s="11">
        <v>100</v>
      </c>
      <c r="J9" s="55">
        <v>120</v>
      </c>
      <c r="K9" s="11">
        <v>140</v>
      </c>
      <c r="L9" s="55">
        <v>250</v>
      </c>
      <c r="M9" s="11">
        <v>300</v>
      </c>
      <c r="N9" s="55">
        <v>350</v>
      </c>
      <c r="O9" s="11">
        <v>400</v>
      </c>
      <c r="P9" s="104">
        <v>450</v>
      </c>
      <c r="Q9" s="7"/>
    </row>
    <row r="10" spans="2:17" x14ac:dyDescent="0.25">
      <c r="B10" s="35" t="s">
        <v>15</v>
      </c>
      <c r="C10" s="36">
        <f>C9*8000</f>
        <v>24000</v>
      </c>
      <c r="D10" s="56">
        <f t="shared" ref="D10:P10" si="1">D9*8000</f>
        <v>48000</v>
      </c>
      <c r="E10" s="36">
        <f t="shared" si="1"/>
        <v>160000</v>
      </c>
      <c r="F10" s="56">
        <f t="shared" si="1"/>
        <v>320000</v>
      </c>
      <c r="G10" s="36">
        <f t="shared" si="1"/>
        <v>480000</v>
      </c>
      <c r="H10" s="56">
        <f t="shared" si="1"/>
        <v>640000</v>
      </c>
      <c r="I10" s="36">
        <f t="shared" si="1"/>
        <v>800000</v>
      </c>
      <c r="J10" s="56">
        <f t="shared" si="1"/>
        <v>960000</v>
      </c>
      <c r="K10" s="36">
        <f t="shared" si="1"/>
        <v>1120000</v>
      </c>
      <c r="L10" s="56">
        <f t="shared" si="1"/>
        <v>2000000</v>
      </c>
      <c r="M10" s="36">
        <f t="shared" si="1"/>
        <v>2400000</v>
      </c>
      <c r="N10" s="56">
        <f t="shared" si="1"/>
        <v>2800000</v>
      </c>
      <c r="O10" s="36">
        <f t="shared" si="1"/>
        <v>3200000</v>
      </c>
      <c r="P10" s="105">
        <f t="shared" si="1"/>
        <v>3600000</v>
      </c>
      <c r="Q10" s="7"/>
    </row>
    <row r="11" spans="2:17" ht="18.75" x14ac:dyDescent="0.3">
      <c r="B11" s="12" t="s">
        <v>70</v>
      </c>
      <c r="C11" s="107">
        <f>(C5*C6*C7*(C8/100)*30)+C10</f>
        <v>110400</v>
      </c>
      <c r="D11" s="107">
        <f t="shared" ref="D11:P11" si="2">(D5*D6*D7*(D8/100)*30)+D10</f>
        <v>192000</v>
      </c>
      <c r="E11" s="107">
        <f t="shared" si="2"/>
        <v>448000</v>
      </c>
      <c r="F11" s="107">
        <f t="shared" si="2"/>
        <v>1184000</v>
      </c>
      <c r="G11" s="107">
        <f t="shared" si="2"/>
        <v>2208000</v>
      </c>
      <c r="H11" s="107">
        <f t="shared" si="2"/>
        <v>2656000</v>
      </c>
      <c r="I11" s="107">
        <f t="shared" si="2"/>
        <v>3104000</v>
      </c>
      <c r="J11" s="107">
        <f t="shared" si="2"/>
        <v>3552000</v>
      </c>
      <c r="K11" s="107">
        <f t="shared" si="2"/>
        <v>4120000</v>
      </c>
      <c r="L11" s="107">
        <f t="shared" si="2"/>
        <v>5300000</v>
      </c>
      <c r="M11" s="107">
        <f t="shared" si="2"/>
        <v>7800000</v>
      </c>
      <c r="N11" s="107">
        <f t="shared" si="2"/>
        <v>8650000</v>
      </c>
      <c r="O11" s="107">
        <f t="shared" si="2"/>
        <v>9500000</v>
      </c>
      <c r="P11" s="107">
        <f t="shared" si="2"/>
        <v>10350000</v>
      </c>
      <c r="Q11" s="14">
        <f>SUM(C11:P11)</f>
        <v>59174400</v>
      </c>
    </row>
    <row r="12" spans="2:17" ht="18.75" x14ac:dyDescent="0.3">
      <c r="B12" s="37" t="s">
        <v>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3"/>
      <c r="Q12" s="7"/>
    </row>
    <row r="13" spans="2:17" x14ac:dyDescent="0.25">
      <c r="B13" s="15" t="s">
        <v>16</v>
      </c>
      <c r="C13" s="16">
        <f>C9*10000+C4*10</f>
        <v>60000</v>
      </c>
      <c r="D13" s="75">
        <f t="shared" ref="D13:P13" si="3">D9*10000+D4*10</f>
        <v>110000</v>
      </c>
      <c r="E13" s="16">
        <f t="shared" si="3"/>
        <v>300000</v>
      </c>
      <c r="F13" s="75">
        <f t="shared" si="3"/>
        <v>550000</v>
      </c>
      <c r="G13" s="16">
        <f t="shared" si="3"/>
        <v>900000</v>
      </c>
      <c r="H13" s="75">
        <f t="shared" si="3"/>
        <v>1150000</v>
      </c>
      <c r="I13" s="16">
        <f t="shared" si="3"/>
        <v>1400000</v>
      </c>
      <c r="J13" s="75">
        <f t="shared" si="3"/>
        <v>1650000</v>
      </c>
      <c r="K13" s="16">
        <f t="shared" si="3"/>
        <v>1900000</v>
      </c>
      <c r="L13" s="75">
        <f t="shared" si="3"/>
        <v>3050000</v>
      </c>
      <c r="M13" s="16">
        <f t="shared" si="3"/>
        <v>3600000</v>
      </c>
      <c r="N13" s="75">
        <f t="shared" si="3"/>
        <v>4150000</v>
      </c>
      <c r="O13" s="16">
        <f t="shared" si="3"/>
        <v>4700000</v>
      </c>
      <c r="P13" s="76">
        <f t="shared" si="3"/>
        <v>5250000</v>
      </c>
      <c r="Q13" s="79">
        <f>SUM(C13:P13)</f>
        <v>28770000</v>
      </c>
    </row>
    <row r="14" spans="2:17" x14ac:dyDescent="0.25">
      <c r="B14" s="15" t="s">
        <v>66</v>
      </c>
      <c r="C14" s="16">
        <f>C9*40000</f>
        <v>120000</v>
      </c>
      <c r="D14" s="75">
        <f t="shared" ref="D14:P14" si="4">(D9-C9)*40000</f>
        <v>120000</v>
      </c>
      <c r="E14" s="16">
        <f t="shared" si="4"/>
        <v>560000</v>
      </c>
      <c r="F14" s="75">
        <f t="shared" si="4"/>
        <v>800000</v>
      </c>
      <c r="G14" s="16">
        <f t="shared" si="4"/>
        <v>800000</v>
      </c>
      <c r="H14" s="75">
        <f t="shared" si="4"/>
        <v>800000</v>
      </c>
      <c r="I14" s="16">
        <f t="shared" si="4"/>
        <v>800000</v>
      </c>
      <c r="J14" s="75">
        <f t="shared" si="4"/>
        <v>800000</v>
      </c>
      <c r="K14" s="16">
        <f t="shared" si="4"/>
        <v>800000</v>
      </c>
      <c r="L14" s="75">
        <f t="shared" si="4"/>
        <v>4400000</v>
      </c>
      <c r="M14" s="16">
        <f t="shared" si="4"/>
        <v>2000000</v>
      </c>
      <c r="N14" s="75">
        <f t="shared" si="4"/>
        <v>2000000</v>
      </c>
      <c r="O14" s="16">
        <f t="shared" si="4"/>
        <v>2000000</v>
      </c>
      <c r="P14" s="76">
        <f t="shared" si="4"/>
        <v>2000000</v>
      </c>
      <c r="Q14" s="79">
        <f>SUM(C14:P14)</f>
        <v>18000000</v>
      </c>
    </row>
    <row r="15" spans="2:17" x14ac:dyDescent="0.25">
      <c r="B15" s="15" t="s">
        <v>56</v>
      </c>
      <c r="C15" s="16">
        <f>C4*3*30</f>
        <v>270000</v>
      </c>
      <c r="D15" s="75">
        <f t="shared" ref="D15:P15" si="5">D4*3*30</f>
        <v>450000</v>
      </c>
      <c r="E15" s="16">
        <f t="shared" si="5"/>
        <v>900000</v>
      </c>
      <c r="F15" s="75">
        <f t="shared" si="5"/>
        <v>1350000</v>
      </c>
      <c r="G15" s="16">
        <f t="shared" si="5"/>
        <v>2700000</v>
      </c>
      <c r="H15" s="75">
        <f t="shared" si="5"/>
        <v>3150000</v>
      </c>
      <c r="I15" s="16">
        <f t="shared" si="5"/>
        <v>3600000</v>
      </c>
      <c r="J15" s="75">
        <f t="shared" si="5"/>
        <v>4050000</v>
      </c>
      <c r="K15" s="16">
        <f t="shared" si="5"/>
        <v>4500000</v>
      </c>
      <c r="L15" s="75">
        <f t="shared" si="5"/>
        <v>4950000</v>
      </c>
      <c r="M15" s="16">
        <f t="shared" si="5"/>
        <v>5400000</v>
      </c>
      <c r="N15" s="75">
        <f t="shared" si="5"/>
        <v>5850000</v>
      </c>
      <c r="O15" s="16">
        <f t="shared" si="5"/>
        <v>6300000</v>
      </c>
      <c r="P15" s="75">
        <f t="shared" si="5"/>
        <v>6750000</v>
      </c>
      <c r="Q15" s="79">
        <f>SUM(C15:P15)</f>
        <v>50220000</v>
      </c>
    </row>
    <row r="16" spans="2:17" x14ac:dyDescent="0.25">
      <c r="B16" s="18" t="s">
        <v>17</v>
      </c>
      <c r="C16" s="16">
        <f t="shared" ref="C16:J16" si="6">C4/5*500</f>
        <v>300000</v>
      </c>
      <c r="D16" s="75">
        <f t="shared" si="6"/>
        <v>500000</v>
      </c>
      <c r="E16" s="16">
        <f t="shared" si="6"/>
        <v>1000000</v>
      </c>
      <c r="F16" s="75">
        <f t="shared" si="6"/>
        <v>1500000</v>
      </c>
      <c r="G16" s="16">
        <f t="shared" si="6"/>
        <v>3000000</v>
      </c>
      <c r="H16" s="75">
        <f t="shared" si="6"/>
        <v>3500000</v>
      </c>
      <c r="I16" s="16">
        <f t="shared" si="6"/>
        <v>4000000</v>
      </c>
      <c r="J16" s="75">
        <f t="shared" si="6"/>
        <v>4500000</v>
      </c>
      <c r="K16" s="16">
        <f t="shared" ref="K16:P16" si="7">K4/5*800</f>
        <v>8000000</v>
      </c>
      <c r="L16" s="75">
        <f t="shared" si="7"/>
        <v>8800000</v>
      </c>
      <c r="M16" s="16">
        <f t="shared" si="7"/>
        <v>9600000</v>
      </c>
      <c r="N16" s="75">
        <f t="shared" si="7"/>
        <v>10400000</v>
      </c>
      <c r="O16" s="16">
        <f t="shared" si="7"/>
        <v>11200000</v>
      </c>
      <c r="P16" s="76">
        <f t="shared" si="7"/>
        <v>12000000</v>
      </c>
      <c r="Q16" s="79">
        <f>SUM(C16:P16)</f>
        <v>78300000</v>
      </c>
    </row>
    <row r="17" spans="2:17" ht="18.75" x14ac:dyDescent="0.3">
      <c r="B17" s="84" t="s">
        <v>67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/>
      <c r="Q17" s="14">
        <f>SUM(Q13:Q16)</f>
        <v>175290000</v>
      </c>
    </row>
    <row r="18" spans="2:17" ht="18.75" x14ac:dyDescent="0.3">
      <c r="B18" s="38" t="s">
        <v>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80"/>
    </row>
    <row r="19" spans="2:17" x14ac:dyDescent="0.25">
      <c r="B19" s="18" t="s">
        <v>18</v>
      </c>
      <c r="C19" s="19">
        <v>35000000</v>
      </c>
      <c r="D19" s="19"/>
      <c r="E19" s="19"/>
      <c r="F19" s="19"/>
      <c r="G19" s="19"/>
      <c r="H19" s="19"/>
      <c r="I19" s="19">
        <v>35000000</v>
      </c>
      <c r="J19" s="19"/>
      <c r="K19" s="19"/>
      <c r="L19" s="19"/>
      <c r="M19" s="19"/>
      <c r="N19" s="19"/>
      <c r="O19" s="19"/>
      <c r="P19" s="19"/>
      <c r="Q19" s="79">
        <f>SUM(C19:P19)</f>
        <v>70000000</v>
      </c>
    </row>
    <row r="20" spans="2:17" x14ac:dyDescent="0.25">
      <c r="B20" s="18" t="s">
        <v>19</v>
      </c>
      <c r="C20" s="19"/>
      <c r="D20" s="19"/>
      <c r="E20" s="19">
        <v>6000000</v>
      </c>
      <c r="F20" s="19"/>
      <c r="G20" s="19">
        <v>4000000</v>
      </c>
      <c r="H20" s="19"/>
      <c r="I20" s="19">
        <v>4000000</v>
      </c>
      <c r="J20" s="19"/>
      <c r="K20" s="19"/>
      <c r="L20" s="19"/>
      <c r="M20" s="19"/>
      <c r="N20" s="19"/>
      <c r="O20" s="19"/>
      <c r="P20" s="19"/>
      <c r="Q20" s="79">
        <f>SUM(C20:P20)</f>
        <v>14000000</v>
      </c>
    </row>
    <row r="21" spans="2:17" x14ac:dyDescent="0.25">
      <c r="B21" s="18" t="s">
        <v>20</v>
      </c>
      <c r="C21" s="19"/>
      <c r="D21" s="19"/>
      <c r="E21" s="19"/>
      <c r="F21" s="19"/>
      <c r="G21" s="19"/>
      <c r="H21" s="19"/>
      <c r="I21" s="19"/>
      <c r="J21" s="19"/>
      <c r="K21" s="19">
        <f t="shared" ref="K21:P21" si="8">K4*3</f>
        <v>150000</v>
      </c>
      <c r="L21" s="19">
        <f t="shared" si="8"/>
        <v>165000</v>
      </c>
      <c r="M21" s="19">
        <f t="shared" si="8"/>
        <v>180000</v>
      </c>
      <c r="N21" s="19">
        <f t="shared" si="8"/>
        <v>195000</v>
      </c>
      <c r="O21" s="19">
        <f t="shared" si="8"/>
        <v>210000</v>
      </c>
      <c r="P21" s="19">
        <f t="shared" si="8"/>
        <v>225000</v>
      </c>
      <c r="Q21" s="79">
        <f>SUM(C21:P21)</f>
        <v>1125000</v>
      </c>
    </row>
    <row r="22" spans="2:17" ht="18.75" x14ac:dyDescent="0.3">
      <c r="B22" s="87" t="s">
        <v>40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14">
        <f>SUM(Q19:Q21)</f>
        <v>85125000</v>
      </c>
    </row>
    <row r="23" spans="2:17" x14ac:dyDescent="0.2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6" t="s">
        <v>9</v>
      </c>
    </row>
    <row r="24" spans="2:17" ht="18.75" x14ac:dyDescent="0.3">
      <c r="B24" s="106" t="s">
        <v>69</v>
      </c>
      <c r="C24" s="83">
        <f>C21+C20+C19+C16+C15+C14+C13+C11</f>
        <v>35860400</v>
      </c>
      <c r="D24" s="83">
        <f t="shared" ref="D24:P24" si="9">D21+D20+D19+D16+D15+D14+D13+D11</f>
        <v>1372000</v>
      </c>
      <c r="E24" s="83">
        <f>E21+E20+E19+E16+E15+E14+E13+E11</f>
        <v>9208000</v>
      </c>
      <c r="F24" s="83">
        <f>F21+F20+F19+F16+F15+F14+F13+F11</f>
        <v>5384000</v>
      </c>
      <c r="G24" s="83">
        <f>G21+G20+G19+G16+G15+G14+G13+G11</f>
        <v>13608000</v>
      </c>
      <c r="H24" s="83">
        <f t="shared" si="9"/>
        <v>11256000</v>
      </c>
      <c r="I24" s="83">
        <f t="shared" si="9"/>
        <v>51904000</v>
      </c>
      <c r="J24" s="83">
        <f t="shared" si="9"/>
        <v>14552000</v>
      </c>
      <c r="K24" s="83">
        <f t="shared" si="9"/>
        <v>19470000</v>
      </c>
      <c r="L24" s="83">
        <f t="shared" si="9"/>
        <v>26665000</v>
      </c>
      <c r="M24" s="83">
        <f t="shared" si="9"/>
        <v>28580000</v>
      </c>
      <c r="N24" s="83">
        <f t="shared" si="9"/>
        <v>31245000</v>
      </c>
      <c r="O24" s="83">
        <f t="shared" si="9"/>
        <v>33910000</v>
      </c>
      <c r="P24" s="83">
        <f t="shared" si="9"/>
        <v>36575000</v>
      </c>
      <c r="Q24" s="24">
        <f>Q22+Q17+Q11</f>
        <v>319589400</v>
      </c>
    </row>
    <row r="25" spans="2:17" x14ac:dyDescent="0.25">
      <c r="Q25" s="4"/>
    </row>
    <row r="26" spans="2:17" x14ac:dyDescent="0.25">
      <c r="Q26" s="4"/>
    </row>
    <row r="27" spans="2:17" ht="21" x14ac:dyDescent="0.35">
      <c r="B27" s="28" t="s">
        <v>35</v>
      </c>
      <c r="C27" s="63">
        <v>40664</v>
      </c>
      <c r="D27" s="63">
        <v>40695</v>
      </c>
      <c r="E27" s="63">
        <v>40725</v>
      </c>
      <c r="F27" s="63">
        <v>40756</v>
      </c>
      <c r="G27" s="63">
        <v>40787</v>
      </c>
      <c r="H27" s="63">
        <v>40817</v>
      </c>
      <c r="I27" s="63">
        <v>40848</v>
      </c>
      <c r="J27" s="63">
        <v>40878</v>
      </c>
      <c r="K27" s="63">
        <v>40909</v>
      </c>
      <c r="L27" s="63">
        <v>40940</v>
      </c>
      <c r="M27" s="63">
        <v>40969</v>
      </c>
      <c r="N27" s="63">
        <v>41000</v>
      </c>
      <c r="O27" s="63">
        <v>41030</v>
      </c>
      <c r="P27" s="64">
        <v>41061</v>
      </c>
      <c r="Q27" s="50" t="s">
        <v>2</v>
      </c>
    </row>
    <row r="28" spans="2:17" ht="18.75" x14ac:dyDescent="0.3">
      <c r="B28" s="37" t="s">
        <v>6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  <c r="Q28" s="50"/>
    </row>
    <row r="29" spans="2:17" x14ac:dyDescent="0.25">
      <c r="B29" s="39" t="s">
        <v>21</v>
      </c>
      <c r="C29" s="40">
        <v>500000</v>
      </c>
      <c r="D29" s="42">
        <v>500000</v>
      </c>
      <c r="E29" s="40">
        <v>500000</v>
      </c>
      <c r="F29" s="42">
        <v>500000</v>
      </c>
      <c r="G29" s="40">
        <v>500000</v>
      </c>
      <c r="H29" s="42">
        <v>500000</v>
      </c>
      <c r="I29" s="40">
        <v>500000</v>
      </c>
      <c r="J29" s="42">
        <v>500000</v>
      </c>
      <c r="K29" s="40">
        <v>500000</v>
      </c>
      <c r="L29" s="42">
        <v>500000</v>
      </c>
      <c r="M29" s="40">
        <v>500000</v>
      </c>
      <c r="N29" s="42">
        <v>500000</v>
      </c>
      <c r="O29" s="40">
        <v>500000</v>
      </c>
      <c r="P29" s="108">
        <v>500000</v>
      </c>
      <c r="Q29" s="81">
        <f>SUM(C29:P29)</f>
        <v>7000000</v>
      </c>
    </row>
    <row r="30" spans="2:17" x14ac:dyDescent="0.25">
      <c r="B30" s="46" t="s">
        <v>22</v>
      </c>
      <c r="C30" s="47">
        <f>C4*15</f>
        <v>45000</v>
      </c>
      <c r="D30" s="69">
        <f t="shared" ref="D30:H30" si="10">D4*15</f>
        <v>75000</v>
      </c>
      <c r="E30" s="47">
        <f t="shared" si="10"/>
        <v>150000</v>
      </c>
      <c r="F30" s="69">
        <f t="shared" si="10"/>
        <v>225000</v>
      </c>
      <c r="G30" s="47">
        <f t="shared" si="10"/>
        <v>450000</v>
      </c>
      <c r="H30" s="69">
        <f t="shared" si="10"/>
        <v>525000</v>
      </c>
      <c r="I30" s="47">
        <f>H30</f>
        <v>525000</v>
      </c>
      <c r="J30" s="69">
        <f t="shared" ref="J30:P30" si="11">I30</f>
        <v>525000</v>
      </c>
      <c r="K30" s="47">
        <f t="shared" si="11"/>
        <v>525000</v>
      </c>
      <c r="L30" s="69">
        <f t="shared" si="11"/>
        <v>525000</v>
      </c>
      <c r="M30" s="47">
        <f t="shared" si="11"/>
        <v>525000</v>
      </c>
      <c r="N30" s="69">
        <f t="shared" si="11"/>
        <v>525000</v>
      </c>
      <c r="O30" s="47">
        <f t="shared" si="11"/>
        <v>525000</v>
      </c>
      <c r="P30" s="109">
        <f t="shared" si="11"/>
        <v>525000</v>
      </c>
      <c r="Q30" s="81">
        <f>SUM(C30:P30)</f>
        <v>5670000</v>
      </c>
    </row>
    <row r="31" spans="2:17" ht="18.75" x14ac:dyDescent="0.3">
      <c r="B31" s="38" t="s">
        <v>36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82"/>
    </row>
    <row r="32" spans="2:17" x14ac:dyDescent="0.25">
      <c r="B32" s="8" t="s">
        <v>29</v>
      </c>
      <c r="C32" s="9">
        <v>10</v>
      </c>
      <c r="D32" s="54">
        <v>10</v>
      </c>
      <c r="E32" s="9">
        <v>12</v>
      </c>
      <c r="F32" s="54">
        <v>12</v>
      </c>
      <c r="G32" s="9">
        <v>18</v>
      </c>
      <c r="H32" s="54">
        <v>20</v>
      </c>
      <c r="I32" s="9">
        <v>20</v>
      </c>
      <c r="J32" s="54">
        <v>20</v>
      </c>
      <c r="K32" s="9">
        <v>25</v>
      </c>
      <c r="L32" s="54">
        <v>25</v>
      </c>
      <c r="M32" s="9">
        <v>25</v>
      </c>
      <c r="N32" s="54">
        <v>25</v>
      </c>
      <c r="O32" s="9">
        <v>25</v>
      </c>
      <c r="P32" s="54">
        <v>25</v>
      </c>
      <c r="Q32" s="82"/>
    </row>
    <row r="33" spans="2:17" x14ac:dyDescent="0.25">
      <c r="B33" s="8" t="s">
        <v>63</v>
      </c>
      <c r="C33" s="9">
        <v>350000</v>
      </c>
      <c r="D33" s="54">
        <v>350000</v>
      </c>
      <c r="E33" s="9">
        <v>350000</v>
      </c>
      <c r="F33" s="54">
        <v>350000</v>
      </c>
      <c r="G33" s="9">
        <v>350000</v>
      </c>
      <c r="H33" s="54">
        <v>350000</v>
      </c>
      <c r="I33" s="9">
        <v>350000</v>
      </c>
      <c r="J33" s="54">
        <v>350000</v>
      </c>
      <c r="K33" s="9">
        <v>350000</v>
      </c>
      <c r="L33" s="54">
        <v>350000</v>
      </c>
      <c r="M33" s="9">
        <v>350000</v>
      </c>
      <c r="N33" s="54">
        <v>350000</v>
      </c>
      <c r="O33" s="9">
        <v>350000</v>
      </c>
      <c r="P33" s="54">
        <v>350000</v>
      </c>
      <c r="Q33" s="82"/>
    </row>
    <row r="34" spans="2:17" x14ac:dyDescent="0.25">
      <c r="B34" s="44" t="s">
        <v>23</v>
      </c>
      <c r="C34" s="6">
        <f>C33*C32</f>
        <v>3500000</v>
      </c>
      <c r="D34" s="70">
        <f t="shared" ref="D34:P34" si="12">D33*D32</f>
        <v>3500000</v>
      </c>
      <c r="E34" s="6">
        <f t="shared" si="12"/>
        <v>4200000</v>
      </c>
      <c r="F34" s="70">
        <f t="shared" si="12"/>
        <v>4200000</v>
      </c>
      <c r="G34" s="6">
        <f t="shared" si="12"/>
        <v>6300000</v>
      </c>
      <c r="H34" s="70">
        <f t="shared" si="12"/>
        <v>7000000</v>
      </c>
      <c r="I34" s="6">
        <f t="shared" si="12"/>
        <v>7000000</v>
      </c>
      <c r="J34" s="70">
        <f t="shared" si="12"/>
        <v>7000000</v>
      </c>
      <c r="K34" s="6">
        <f t="shared" si="12"/>
        <v>8750000</v>
      </c>
      <c r="L34" s="70">
        <f t="shared" si="12"/>
        <v>8750000</v>
      </c>
      <c r="M34" s="6">
        <f t="shared" si="12"/>
        <v>8750000</v>
      </c>
      <c r="N34" s="70">
        <f t="shared" si="12"/>
        <v>8750000</v>
      </c>
      <c r="O34" s="6">
        <f t="shared" si="12"/>
        <v>8750000</v>
      </c>
      <c r="P34" s="70">
        <f t="shared" si="12"/>
        <v>8750000</v>
      </c>
      <c r="Q34" s="81">
        <f>SUM(C34:P34)</f>
        <v>95200000</v>
      </c>
    </row>
    <row r="35" spans="2:17" x14ac:dyDescent="0.25">
      <c r="B35" s="45" t="s">
        <v>24</v>
      </c>
      <c r="C35" s="9">
        <f>C32*20000</f>
        <v>200000</v>
      </c>
      <c r="D35" s="54">
        <f t="shared" ref="D35:P35" si="13">D32*20000</f>
        <v>200000</v>
      </c>
      <c r="E35" s="9">
        <f t="shared" si="13"/>
        <v>240000</v>
      </c>
      <c r="F35" s="54">
        <f t="shared" si="13"/>
        <v>240000</v>
      </c>
      <c r="G35" s="9">
        <f t="shared" si="13"/>
        <v>360000</v>
      </c>
      <c r="H35" s="54">
        <f t="shared" si="13"/>
        <v>400000</v>
      </c>
      <c r="I35" s="9">
        <f t="shared" si="13"/>
        <v>400000</v>
      </c>
      <c r="J35" s="54">
        <f t="shared" si="13"/>
        <v>400000</v>
      </c>
      <c r="K35" s="9">
        <f t="shared" si="13"/>
        <v>500000</v>
      </c>
      <c r="L35" s="54">
        <f t="shared" si="13"/>
        <v>500000</v>
      </c>
      <c r="M35" s="9">
        <f t="shared" si="13"/>
        <v>500000</v>
      </c>
      <c r="N35" s="54">
        <f t="shared" si="13"/>
        <v>500000</v>
      </c>
      <c r="O35" s="9">
        <f t="shared" si="13"/>
        <v>500000</v>
      </c>
      <c r="P35" s="54">
        <f t="shared" si="13"/>
        <v>500000</v>
      </c>
      <c r="Q35" s="81">
        <f>SUM(C35:P35)</f>
        <v>5440000</v>
      </c>
    </row>
    <row r="36" spans="2:17" x14ac:dyDescent="0.25">
      <c r="B36" s="45" t="s">
        <v>26</v>
      </c>
      <c r="C36" s="9">
        <f>C32*50000</f>
        <v>500000</v>
      </c>
      <c r="D36" s="54">
        <f t="shared" ref="D36:P36" si="14">D32*50000</f>
        <v>500000</v>
      </c>
      <c r="E36" s="9">
        <f t="shared" si="14"/>
        <v>600000</v>
      </c>
      <c r="F36" s="54">
        <f t="shared" si="14"/>
        <v>600000</v>
      </c>
      <c r="G36" s="9">
        <f t="shared" si="14"/>
        <v>900000</v>
      </c>
      <c r="H36" s="54">
        <f t="shared" si="14"/>
        <v>1000000</v>
      </c>
      <c r="I36" s="9">
        <f t="shared" si="14"/>
        <v>1000000</v>
      </c>
      <c r="J36" s="54">
        <f t="shared" si="14"/>
        <v>1000000</v>
      </c>
      <c r="K36" s="9">
        <f t="shared" si="14"/>
        <v>1250000</v>
      </c>
      <c r="L36" s="54">
        <f t="shared" si="14"/>
        <v>1250000</v>
      </c>
      <c r="M36" s="9">
        <f t="shared" si="14"/>
        <v>1250000</v>
      </c>
      <c r="N36" s="54">
        <f t="shared" si="14"/>
        <v>1250000</v>
      </c>
      <c r="O36" s="9">
        <f t="shared" si="14"/>
        <v>1250000</v>
      </c>
      <c r="P36" s="54">
        <f t="shared" si="14"/>
        <v>1250000</v>
      </c>
      <c r="Q36" s="81">
        <f>SUM(C36:P36)</f>
        <v>13600000</v>
      </c>
    </row>
    <row r="37" spans="2:17" x14ac:dyDescent="0.25">
      <c r="B37" s="45" t="s">
        <v>25</v>
      </c>
      <c r="C37" s="9">
        <v>1000000</v>
      </c>
      <c r="D37" s="54"/>
      <c r="E37" s="9"/>
      <c r="F37" s="54">
        <v>1000000</v>
      </c>
      <c r="G37" s="9"/>
      <c r="H37" s="54"/>
      <c r="I37" s="9">
        <v>2000000</v>
      </c>
      <c r="J37" s="54"/>
      <c r="K37" s="9"/>
      <c r="L37" s="54">
        <v>2000000</v>
      </c>
      <c r="M37" s="9"/>
      <c r="N37" s="54"/>
      <c r="O37" s="9">
        <v>2000000</v>
      </c>
      <c r="P37" s="54"/>
      <c r="Q37" s="81">
        <f>SUM(C37:P37)</f>
        <v>8000000</v>
      </c>
    </row>
    <row r="38" spans="2:17" ht="18.75" x14ac:dyDescent="0.3">
      <c r="B38" s="37" t="s">
        <v>38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  <c r="Q38" s="82"/>
    </row>
    <row r="39" spans="2:17" x14ac:dyDescent="0.25">
      <c r="B39" s="45" t="s">
        <v>32</v>
      </c>
      <c r="C39" s="9">
        <f>C32*200000</f>
        <v>2000000</v>
      </c>
      <c r="D39" s="9"/>
      <c r="E39" s="9"/>
      <c r="F39" s="9"/>
      <c r="G39" s="9"/>
      <c r="H39" s="9"/>
      <c r="I39" s="9"/>
      <c r="J39" s="9">
        <f>(J32-C32)*200000</f>
        <v>2000000</v>
      </c>
      <c r="K39" s="9"/>
      <c r="L39" s="9"/>
      <c r="M39" s="9"/>
      <c r="N39" s="9"/>
      <c r="O39" s="9">
        <f>O32*200000</f>
        <v>5000000</v>
      </c>
      <c r="P39" s="34"/>
      <c r="Q39" s="81">
        <f>SUM(C39:P39)</f>
        <v>9000000</v>
      </c>
    </row>
    <row r="40" spans="2:17" x14ac:dyDescent="0.25">
      <c r="B40" s="89" t="s">
        <v>30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1"/>
      <c r="Q40" s="82"/>
    </row>
    <row r="41" spans="2:17" ht="18.75" x14ac:dyDescent="0.3">
      <c r="B41" s="38" t="s">
        <v>37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82"/>
    </row>
    <row r="42" spans="2:17" x14ac:dyDescent="0.25">
      <c r="B42" s="45" t="s">
        <v>27</v>
      </c>
      <c r="C42" s="9">
        <v>200000</v>
      </c>
      <c r="D42" s="9">
        <v>300000</v>
      </c>
      <c r="E42" s="9">
        <v>300000</v>
      </c>
      <c r="F42" s="9">
        <v>300000</v>
      </c>
      <c r="G42" s="9">
        <v>500000</v>
      </c>
      <c r="H42" s="9">
        <v>200000</v>
      </c>
      <c r="I42" s="9">
        <v>200000</v>
      </c>
      <c r="J42" s="9">
        <v>200000</v>
      </c>
      <c r="K42" s="9">
        <v>2000000</v>
      </c>
      <c r="L42" s="9">
        <v>200000</v>
      </c>
      <c r="M42" s="9">
        <v>200000</v>
      </c>
      <c r="N42" s="9">
        <v>200000</v>
      </c>
      <c r="O42" s="9">
        <v>200000</v>
      </c>
      <c r="P42" s="9">
        <v>500000</v>
      </c>
      <c r="Q42" s="81">
        <f>SUM(C42:P42)</f>
        <v>5500000</v>
      </c>
    </row>
    <row r="43" spans="2:17" x14ac:dyDescent="0.25">
      <c r="B43" s="45" t="s">
        <v>28</v>
      </c>
      <c r="C43" s="9">
        <v>300000</v>
      </c>
      <c r="D43" s="9">
        <v>150000</v>
      </c>
      <c r="E43" s="9">
        <v>150000</v>
      </c>
      <c r="F43" s="9">
        <v>150000</v>
      </c>
      <c r="G43" s="9">
        <v>4000000</v>
      </c>
      <c r="H43" s="9">
        <v>150000</v>
      </c>
      <c r="I43" s="9">
        <v>150000</v>
      </c>
      <c r="J43" s="9">
        <v>150000</v>
      </c>
      <c r="K43" s="9">
        <v>2000000</v>
      </c>
      <c r="L43" s="9">
        <v>150000</v>
      </c>
      <c r="M43" s="9">
        <v>150000</v>
      </c>
      <c r="N43" s="9">
        <v>150000</v>
      </c>
      <c r="O43" s="9">
        <v>150000</v>
      </c>
      <c r="P43" s="9">
        <v>150000</v>
      </c>
      <c r="Q43" s="81">
        <f>SUM(C43:P43)</f>
        <v>7950000</v>
      </c>
    </row>
    <row r="44" spans="2:17" x14ac:dyDescent="0.25">
      <c r="B44" s="45" t="s">
        <v>34</v>
      </c>
      <c r="C44" s="9">
        <f>C5*5000</f>
        <v>150000</v>
      </c>
      <c r="D44" s="9">
        <f t="shared" ref="D44:P44" si="15">D5*5000</f>
        <v>250000</v>
      </c>
      <c r="E44" s="9">
        <f t="shared" si="15"/>
        <v>500000</v>
      </c>
      <c r="F44" s="9">
        <f t="shared" si="15"/>
        <v>750000</v>
      </c>
      <c r="G44" s="9">
        <f t="shared" si="15"/>
        <v>1500000</v>
      </c>
      <c r="H44" s="9">
        <f t="shared" si="15"/>
        <v>1750000</v>
      </c>
      <c r="I44" s="9">
        <f t="shared" si="15"/>
        <v>2000000</v>
      </c>
      <c r="J44" s="9">
        <f t="shared" si="15"/>
        <v>2250000</v>
      </c>
      <c r="K44" s="9">
        <f t="shared" si="15"/>
        <v>2500000</v>
      </c>
      <c r="L44" s="9">
        <f t="shared" si="15"/>
        <v>2750000</v>
      </c>
      <c r="M44" s="9">
        <f t="shared" si="15"/>
        <v>3000000</v>
      </c>
      <c r="N44" s="9">
        <f t="shared" si="15"/>
        <v>3250000</v>
      </c>
      <c r="O44" s="9">
        <f t="shared" si="15"/>
        <v>3500000</v>
      </c>
      <c r="P44" s="9">
        <f t="shared" si="15"/>
        <v>3750000</v>
      </c>
      <c r="Q44" s="81">
        <f>SUM(C44:P44)</f>
        <v>27900000</v>
      </c>
    </row>
    <row r="45" spans="2:17" x14ac:dyDescent="0.25">
      <c r="B45" s="111" t="s">
        <v>60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43"/>
    </row>
    <row r="46" spans="2:17" x14ac:dyDescent="0.25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6" t="s">
        <v>9</v>
      </c>
    </row>
    <row r="47" spans="2:17" ht="18.75" x14ac:dyDescent="0.3">
      <c r="B47" s="106" t="s">
        <v>71</v>
      </c>
      <c r="C47" s="83">
        <f>C29+C30+C34+C35+C36+C37+C39+C42+C43+C44</f>
        <v>8395000</v>
      </c>
      <c r="D47" s="83">
        <f t="shared" ref="D47:P47" si="16">D29+D30+D34+D35+D36+D37+D39+D42+D43+D44</f>
        <v>5475000</v>
      </c>
      <c r="E47" s="83">
        <f t="shared" si="16"/>
        <v>6640000</v>
      </c>
      <c r="F47" s="83">
        <f t="shared" si="16"/>
        <v>7965000</v>
      </c>
      <c r="G47" s="83">
        <f t="shared" si="16"/>
        <v>14510000</v>
      </c>
      <c r="H47" s="83">
        <f t="shared" si="16"/>
        <v>11525000</v>
      </c>
      <c r="I47" s="83">
        <f t="shared" si="16"/>
        <v>13775000</v>
      </c>
      <c r="J47" s="83">
        <f t="shared" si="16"/>
        <v>14025000</v>
      </c>
      <c r="K47" s="83">
        <f t="shared" si="16"/>
        <v>18025000</v>
      </c>
      <c r="L47" s="83">
        <f t="shared" si="16"/>
        <v>16625000</v>
      </c>
      <c r="M47" s="83">
        <f t="shared" si="16"/>
        <v>14875000</v>
      </c>
      <c r="N47" s="83">
        <f t="shared" si="16"/>
        <v>15125000</v>
      </c>
      <c r="O47" s="83">
        <f t="shared" si="16"/>
        <v>22375000</v>
      </c>
      <c r="P47" s="83">
        <f t="shared" si="16"/>
        <v>15925000</v>
      </c>
      <c r="Q47" s="24">
        <f>SUM(C47:P47)</f>
        <v>185260000</v>
      </c>
    </row>
    <row r="48" spans="2:17" ht="18.75" x14ac:dyDescent="0.3">
      <c r="Q48" s="25"/>
    </row>
    <row r="49" spans="2:17" ht="15.75" x14ac:dyDescent="0.25">
      <c r="B49" s="53" t="s">
        <v>72</v>
      </c>
      <c r="C49" s="3">
        <f>C24-C47</f>
        <v>27465400</v>
      </c>
      <c r="D49" s="110">
        <f>C49+(D24-D47)</f>
        <v>23362400</v>
      </c>
      <c r="E49" s="110">
        <f>D49+(E24-E47)</f>
        <v>25930400</v>
      </c>
      <c r="F49" s="110">
        <f t="shared" ref="F49:P49" si="17">E49+(F24-F47)</f>
        <v>23349400</v>
      </c>
      <c r="G49" s="110">
        <f t="shared" si="17"/>
        <v>22447400</v>
      </c>
      <c r="H49" s="110">
        <f>G49+(H24-H47)</f>
        <v>22178400</v>
      </c>
      <c r="I49" s="3">
        <f t="shared" si="17"/>
        <v>60307400</v>
      </c>
      <c r="J49" s="110">
        <f t="shared" si="17"/>
        <v>60834400</v>
      </c>
      <c r="K49" s="110">
        <f t="shared" si="17"/>
        <v>62279400</v>
      </c>
      <c r="L49" s="110">
        <f t="shared" si="17"/>
        <v>72319400</v>
      </c>
      <c r="M49" s="110">
        <f t="shared" si="17"/>
        <v>86024400</v>
      </c>
      <c r="N49" s="110">
        <f t="shared" si="17"/>
        <v>102144400</v>
      </c>
      <c r="O49" s="110">
        <f t="shared" si="17"/>
        <v>113679400</v>
      </c>
      <c r="P49" s="110">
        <f t="shared" si="17"/>
        <v>134329400</v>
      </c>
      <c r="Q49" s="52"/>
    </row>
    <row r="50" spans="2:17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</sheetData>
  <mergeCells count="5">
    <mergeCell ref="B17:P17"/>
    <mergeCell ref="B22:P22"/>
    <mergeCell ref="B40:P40"/>
    <mergeCell ref="B45:P45"/>
    <mergeCell ref="C1:H1"/>
  </mergeCells>
  <printOptions horizontalCentered="1" verticalCentered="1"/>
  <pageMargins left="0.19685039370078741" right="0.19685039370078741" top="0.35433070866141736" bottom="0.35433070866141736" header="7.874015748031496E-2" footer="7.874015748031496E-2"/>
  <pageSetup paperSize="9" scale="67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workbookViewId="0">
      <selection activeCell="B17" sqref="B17:P17"/>
    </sheetView>
  </sheetViews>
  <sheetFormatPr defaultRowHeight="15" x14ac:dyDescent="0.25"/>
  <cols>
    <col min="1" max="1" width="4.42578125" customWidth="1"/>
    <col min="2" max="2" width="41.5703125" customWidth="1"/>
    <col min="3" max="16" width="12.7109375" customWidth="1"/>
    <col min="17" max="17" width="18" customWidth="1"/>
  </cols>
  <sheetData>
    <row r="1" spans="2:17" ht="30.75" customHeight="1" x14ac:dyDescent="0.25">
      <c r="C1" s="94" t="s">
        <v>61</v>
      </c>
      <c r="D1" s="94"/>
      <c r="E1" s="94"/>
      <c r="F1" s="94"/>
    </row>
    <row r="2" spans="2:17" ht="21" x14ac:dyDescent="0.35">
      <c r="B2" s="30" t="s">
        <v>33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65"/>
      <c r="Q2" s="51" t="s">
        <v>58</v>
      </c>
    </row>
    <row r="3" spans="2:17" ht="18.75" x14ac:dyDescent="0.3">
      <c r="B3" s="37" t="s">
        <v>1</v>
      </c>
      <c r="C3" s="71" t="s">
        <v>41</v>
      </c>
      <c r="D3" s="71" t="s">
        <v>42</v>
      </c>
      <c r="E3" s="72" t="s">
        <v>49</v>
      </c>
      <c r="F3" s="72" t="s">
        <v>50</v>
      </c>
      <c r="G3" s="72" t="s">
        <v>43</v>
      </c>
      <c r="H3" s="72" t="s">
        <v>44</v>
      </c>
      <c r="I3" s="71" t="s">
        <v>51</v>
      </c>
      <c r="J3" s="71" t="s">
        <v>52</v>
      </c>
      <c r="K3" s="71" t="s">
        <v>45</v>
      </c>
      <c r="L3" s="71" t="s">
        <v>46</v>
      </c>
      <c r="M3" s="72" t="s">
        <v>53</v>
      </c>
      <c r="N3" s="72" t="s">
        <v>54</v>
      </c>
      <c r="O3" s="72" t="s">
        <v>47</v>
      </c>
      <c r="P3" s="73" t="s">
        <v>48</v>
      </c>
      <c r="Q3" s="7"/>
    </row>
    <row r="4" spans="2:17" x14ac:dyDescent="0.25">
      <c r="B4" s="5" t="s">
        <v>0</v>
      </c>
      <c r="C4" s="6">
        <v>80000</v>
      </c>
      <c r="D4" s="6">
        <v>85000</v>
      </c>
      <c r="E4" s="70">
        <v>100000</v>
      </c>
      <c r="F4" s="70">
        <v>150000</v>
      </c>
      <c r="G4" s="70">
        <v>200000</v>
      </c>
      <c r="H4" s="70">
        <v>250000</v>
      </c>
      <c r="I4" s="6">
        <v>300000</v>
      </c>
      <c r="J4" s="6">
        <v>400000</v>
      </c>
      <c r="K4" s="6">
        <v>500000</v>
      </c>
      <c r="L4" s="6">
        <v>600000</v>
      </c>
      <c r="M4" s="70">
        <v>750000</v>
      </c>
      <c r="N4" s="70">
        <v>900000</v>
      </c>
      <c r="O4" s="70">
        <v>1050000</v>
      </c>
      <c r="P4" s="70">
        <v>1200000</v>
      </c>
      <c r="Q4" s="7"/>
    </row>
    <row r="5" spans="2:17" s="1" customFormat="1" ht="12" x14ac:dyDescent="0.2">
      <c r="B5" s="8" t="s">
        <v>10</v>
      </c>
      <c r="C5" s="57">
        <f>C4/100</f>
        <v>800</v>
      </c>
      <c r="D5" s="57">
        <f t="shared" ref="D5:P5" si="0">D4/100</f>
        <v>850</v>
      </c>
      <c r="E5" s="54">
        <f t="shared" si="0"/>
        <v>1000</v>
      </c>
      <c r="F5" s="54">
        <f t="shared" si="0"/>
        <v>1500</v>
      </c>
      <c r="G5" s="54">
        <f t="shared" si="0"/>
        <v>2000</v>
      </c>
      <c r="H5" s="54">
        <f t="shared" si="0"/>
        <v>2500</v>
      </c>
      <c r="I5" s="57">
        <f t="shared" si="0"/>
        <v>3000</v>
      </c>
      <c r="J5" s="57">
        <f t="shared" si="0"/>
        <v>4000</v>
      </c>
      <c r="K5" s="57">
        <f t="shared" si="0"/>
        <v>5000</v>
      </c>
      <c r="L5" s="57">
        <f t="shared" si="0"/>
        <v>6000</v>
      </c>
      <c r="M5" s="54">
        <f t="shared" si="0"/>
        <v>7500</v>
      </c>
      <c r="N5" s="54">
        <f t="shared" si="0"/>
        <v>9000</v>
      </c>
      <c r="O5" s="54">
        <f t="shared" si="0"/>
        <v>10500</v>
      </c>
      <c r="P5" s="62">
        <f t="shared" si="0"/>
        <v>12000</v>
      </c>
      <c r="Q5" s="10"/>
    </row>
    <row r="6" spans="2:17" s="1" customFormat="1" ht="12" x14ac:dyDescent="0.2">
      <c r="B6" s="8" t="s">
        <v>11</v>
      </c>
      <c r="C6" s="57">
        <v>4</v>
      </c>
      <c r="D6" s="58">
        <v>4</v>
      </c>
      <c r="E6" s="54">
        <v>4</v>
      </c>
      <c r="F6" s="55">
        <v>4</v>
      </c>
      <c r="G6" s="54">
        <v>4</v>
      </c>
      <c r="H6" s="55">
        <v>4</v>
      </c>
      <c r="I6" s="57">
        <v>4</v>
      </c>
      <c r="J6" s="58">
        <v>4</v>
      </c>
      <c r="K6" s="57">
        <v>4</v>
      </c>
      <c r="L6" s="58">
        <v>4</v>
      </c>
      <c r="M6" s="54">
        <v>4</v>
      </c>
      <c r="N6" s="55">
        <v>4</v>
      </c>
      <c r="O6" s="54">
        <v>4</v>
      </c>
      <c r="P6" s="55">
        <v>4</v>
      </c>
      <c r="Q6" s="10"/>
    </row>
    <row r="7" spans="2:17" s="1" customFormat="1" ht="12" x14ac:dyDescent="0.2">
      <c r="B7" s="8" t="s">
        <v>12</v>
      </c>
      <c r="C7" s="57">
        <v>2000</v>
      </c>
      <c r="D7" s="57">
        <v>2000</v>
      </c>
      <c r="E7" s="54">
        <v>2000</v>
      </c>
      <c r="F7" s="54">
        <v>2000</v>
      </c>
      <c r="G7" s="54">
        <v>2000</v>
      </c>
      <c r="H7" s="54">
        <v>2000</v>
      </c>
      <c r="I7" s="57">
        <v>2000</v>
      </c>
      <c r="J7" s="57">
        <v>2000</v>
      </c>
      <c r="K7" s="57">
        <v>2000</v>
      </c>
      <c r="L7" s="57">
        <v>2000</v>
      </c>
      <c r="M7" s="54">
        <v>2000</v>
      </c>
      <c r="N7" s="54">
        <v>2000</v>
      </c>
      <c r="O7" s="54">
        <v>2000</v>
      </c>
      <c r="P7" s="54">
        <v>2000</v>
      </c>
      <c r="Q7" s="10"/>
    </row>
    <row r="8" spans="2:17" s="1" customFormat="1" ht="12" x14ac:dyDescent="0.2">
      <c r="B8" s="8" t="s">
        <v>13</v>
      </c>
      <c r="C8" s="57">
        <v>5</v>
      </c>
      <c r="D8" s="57">
        <v>5</v>
      </c>
      <c r="E8" s="54">
        <v>5</v>
      </c>
      <c r="F8" s="54">
        <v>5</v>
      </c>
      <c r="G8" s="54">
        <v>5</v>
      </c>
      <c r="H8" s="54">
        <v>5</v>
      </c>
      <c r="I8" s="57">
        <v>5</v>
      </c>
      <c r="J8" s="57">
        <v>5</v>
      </c>
      <c r="K8" s="57">
        <v>5</v>
      </c>
      <c r="L8" s="57">
        <v>5</v>
      </c>
      <c r="M8" s="54">
        <v>5</v>
      </c>
      <c r="N8" s="54">
        <v>5</v>
      </c>
      <c r="O8" s="54">
        <v>5</v>
      </c>
      <c r="P8" s="54">
        <v>5</v>
      </c>
      <c r="Q8" s="10"/>
    </row>
    <row r="9" spans="2:17" x14ac:dyDescent="0.25">
      <c r="B9" s="8" t="s">
        <v>14</v>
      </c>
      <c r="C9" s="57">
        <v>500</v>
      </c>
      <c r="D9" s="58">
        <v>700</v>
      </c>
      <c r="E9" s="54">
        <v>900</v>
      </c>
      <c r="F9" s="55">
        <v>1100</v>
      </c>
      <c r="G9" s="55">
        <v>1300</v>
      </c>
      <c r="H9" s="55">
        <v>1600</v>
      </c>
      <c r="I9" s="58">
        <v>1900</v>
      </c>
      <c r="J9" s="58">
        <v>2200</v>
      </c>
      <c r="K9" s="58">
        <v>2200</v>
      </c>
      <c r="L9" s="58">
        <v>2200</v>
      </c>
      <c r="M9" s="55">
        <v>2200</v>
      </c>
      <c r="N9" s="55">
        <v>2200</v>
      </c>
      <c r="O9" s="55">
        <v>2200</v>
      </c>
      <c r="P9" s="55">
        <v>2200</v>
      </c>
      <c r="Q9" s="7"/>
    </row>
    <row r="10" spans="2:17" x14ac:dyDescent="0.25">
      <c r="B10" s="35" t="s">
        <v>55</v>
      </c>
      <c r="C10" s="59">
        <f>C9*30000</f>
        <v>15000000</v>
      </c>
      <c r="D10" s="59">
        <f t="shared" ref="D10:P10" si="1">D9*30000</f>
        <v>21000000</v>
      </c>
      <c r="E10" s="56">
        <f t="shared" si="1"/>
        <v>27000000</v>
      </c>
      <c r="F10" s="56">
        <f t="shared" si="1"/>
        <v>33000000</v>
      </c>
      <c r="G10" s="56">
        <f t="shared" si="1"/>
        <v>39000000</v>
      </c>
      <c r="H10" s="56">
        <f t="shared" si="1"/>
        <v>48000000</v>
      </c>
      <c r="I10" s="59">
        <f t="shared" si="1"/>
        <v>57000000</v>
      </c>
      <c r="J10" s="59">
        <f>J9*30000</f>
        <v>66000000</v>
      </c>
      <c r="K10" s="59">
        <f t="shared" si="1"/>
        <v>66000000</v>
      </c>
      <c r="L10" s="59">
        <f t="shared" si="1"/>
        <v>66000000</v>
      </c>
      <c r="M10" s="56">
        <f t="shared" si="1"/>
        <v>66000000</v>
      </c>
      <c r="N10" s="56">
        <f t="shared" si="1"/>
        <v>66000000</v>
      </c>
      <c r="O10" s="56">
        <f t="shared" si="1"/>
        <v>66000000</v>
      </c>
      <c r="P10" s="56">
        <f t="shared" si="1"/>
        <v>66000000</v>
      </c>
      <c r="Q10" s="7"/>
    </row>
    <row r="11" spans="2:17" ht="18.75" x14ac:dyDescent="0.3">
      <c r="B11" s="12" t="s">
        <v>8</v>
      </c>
      <c r="C11" s="13">
        <f>(C5*C6*C7*(C8/100)*30)+C10</f>
        <v>24600000</v>
      </c>
      <c r="D11" s="13">
        <f t="shared" ref="D11:P11" si="2">(D5*D6*D7*(D8/100)*30)+D10</f>
        <v>31200000</v>
      </c>
      <c r="E11" s="13">
        <f t="shared" si="2"/>
        <v>39000000</v>
      </c>
      <c r="F11" s="13">
        <f t="shared" si="2"/>
        <v>51000000</v>
      </c>
      <c r="G11" s="13">
        <f t="shared" si="2"/>
        <v>63000000</v>
      </c>
      <c r="H11" s="13">
        <f t="shared" si="2"/>
        <v>78000000</v>
      </c>
      <c r="I11" s="13">
        <f t="shared" si="2"/>
        <v>93000000</v>
      </c>
      <c r="J11" s="13">
        <f t="shared" si="2"/>
        <v>114000000</v>
      </c>
      <c r="K11" s="13">
        <f t="shared" si="2"/>
        <v>126000000</v>
      </c>
      <c r="L11" s="13">
        <f t="shared" si="2"/>
        <v>138000000</v>
      </c>
      <c r="M11" s="13">
        <f t="shared" si="2"/>
        <v>156000000</v>
      </c>
      <c r="N11" s="13">
        <f t="shared" si="2"/>
        <v>174000000</v>
      </c>
      <c r="O11" s="13">
        <f t="shared" si="2"/>
        <v>192000000</v>
      </c>
      <c r="P11" s="13">
        <f t="shared" si="2"/>
        <v>210000000</v>
      </c>
      <c r="Q11" s="14">
        <f>SUM(C11:P11)</f>
        <v>1489800000</v>
      </c>
    </row>
    <row r="12" spans="2:17" ht="18.75" x14ac:dyDescent="0.3">
      <c r="B12" s="37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4"/>
      <c r="Q12" s="7"/>
    </row>
    <row r="13" spans="2:17" x14ac:dyDescent="0.25">
      <c r="B13" s="15" t="s">
        <v>16</v>
      </c>
      <c r="C13" s="16">
        <f>C9*5000+C4*10</f>
        <v>3300000</v>
      </c>
      <c r="D13" s="16">
        <f t="shared" ref="D13:P13" si="3">D9*5000+D4*10</f>
        <v>4350000</v>
      </c>
      <c r="E13" s="75">
        <f t="shared" si="3"/>
        <v>5500000</v>
      </c>
      <c r="F13" s="75">
        <f t="shared" si="3"/>
        <v>7000000</v>
      </c>
      <c r="G13" s="75">
        <f t="shared" si="3"/>
        <v>8500000</v>
      </c>
      <c r="H13" s="75">
        <f t="shared" si="3"/>
        <v>10500000</v>
      </c>
      <c r="I13" s="16">
        <f t="shared" si="3"/>
        <v>12500000</v>
      </c>
      <c r="J13" s="16">
        <f t="shared" si="3"/>
        <v>15000000</v>
      </c>
      <c r="K13" s="16">
        <f t="shared" si="3"/>
        <v>16000000</v>
      </c>
      <c r="L13" s="16">
        <f t="shared" si="3"/>
        <v>17000000</v>
      </c>
      <c r="M13" s="75">
        <f t="shared" si="3"/>
        <v>18500000</v>
      </c>
      <c r="N13" s="75">
        <f t="shared" si="3"/>
        <v>20000000</v>
      </c>
      <c r="O13" s="75">
        <f t="shared" si="3"/>
        <v>21500000</v>
      </c>
      <c r="P13" s="75">
        <f t="shared" si="3"/>
        <v>23000000</v>
      </c>
      <c r="Q13" s="17">
        <f>SUM(C13:P13)</f>
        <v>182650000</v>
      </c>
    </row>
    <row r="14" spans="2:17" x14ac:dyDescent="0.25">
      <c r="B14" s="15" t="s">
        <v>66</v>
      </c>
      <c r="C14" s="16">
        <f>(C9-450)*40000</f>
        <v>2000000</v>
      </c>
      <c r="D14" s="16">
        <f t="shared" ref="D14:P14" si="4">(D9-C9)*40000</f>
        <v>8000000</v>
      </c>
      <c r="E14" s="75">
        <f t="shared" si="4"/>
        <v>8000000</v>
      </c>
      <c r="F14" s="75">
        <f t="shared" si="4"/>
        <v>8000000</v>
      </c>
      <c r="G14" s="75">
        <f t="shared" si="4"/>
        <v>8000000</v>
      </c>
      <c r="H14" s="75">
        <f t="shared" si="4"/>
        <v>12000000</v>
      </c>
      <c r="I14" s="16">
        <f t="shared" si="4"/>
        <v>12000000</v>
      </c>
      <c r="J14" s="16">
        <f t="shared" si="4"/>
        <v>12000000</v>
      </c>
      <c r="K14" s="16">
        <f t="shared" si="4"/>
        <v>0</v>
      </c>
      <c r="L14" s="16">
        <f t="shared" si="4"/>
        <v>0</v>
      </c>
      <c r="M14" s="75">
        <f t="shared" si="4"/>
        <v>0</v>
      </c>
      <c r="N14" s="75">
        <f t="shared" si="4"/>
        <v>0</v>
      </c>
      <c r="O14" s="75">
        <f t="shared" si="4"/>
        <v>0</v>
      </c>
      <c r="P14" s="76">
        <f t="shared" si="4"/>
        <v>0</v>
      </c>
      <c r="Q14" s="17">
        <f>SUM(C14:P14)</f>
        <v>70000000</v>
      </c>
    </row>
    <row r="15" spans="2:17" x14ac:dyDescent="0.25">
      <c r="B15" s="15" t="s">
        <v>57</v>
      </c>
      <c r="C15" s="16">
        <f>C4*8*30</f>
        <v>19200000</v>
      </c>
      <c r="D15" s="16">
        <f t="shared" ref="D15:P15" si="5">D4*8*30</f>
        <v>20400000</v>
      </c>
      <c r="E15" s="75">
        <f t="shared" si="5"/>
        <v>24000000</v>
      </c>
      <c r="F15" s="75">
        <f t="shared" si="5"/>
        <v>36000000</v>
      </c>
      <c r="G15" s="75">
        <f t="shared" si="5"/>
        <v>48000000</v>
      </c>
      <c r="H15" s="75">
        <f t="shared" si="5"/>
        <v>60000000</v>
      </c>
      <c r="I15" s="16">
        <f t="shared" si="5"/>
        <v>72000000</v>
      </c>
      <c r="J15" s="16">
        <f t="shared" si="5"/>
        <v>96000000</v>
      </c>
      <c r="K15" s="16">
        <f t="shared" si="5"/>
        <v>120000000</v>
      </c>
      <c r="L15" s="16">
        <f t="shared" si="5"/>
        <v>144000000</v>
      </c>
      <c r="M15" s="75">
        <f t="shared" si="5"/>
        <v>180000000</v>
      </c>
      <c r="N15" s="75">
        <f t="shared" si="5"/>
        <v>216000000</v>
      </c>
      <c r="O15" s="75">
        <f t="shared" si="5"/>
        <v>252000000</v>
      </c>
      <c r="P15" s="75">
        <f t="shared" si="5"/>
        <v>288000000</v>
      </c>
      <c r="Q15" s="17">
        <f>SUM(C15:P15)</f>
        <v>1575600000</v>
      </c>
    </row>
    <row r="16" spans="2:17" x14ac:dyDescent="0.25">
      <c r="B16" s="18" t="s">
        <v>17</v>
      </c>
      <c r="C16" s="16">
        <f>C4/3.5*500</f>
        <v>11428571.428571429</v>
      </c>
      <c r="D16" s="16">
        <f t="shared" ref="D16:O16" si="6">D4/3.5*500</f>
        <v>12142857.142857144</v>
      </c>
      <c r="E16" s="75">
        <f t="shared" si="6"/>
        <v>14285714.285714285</v>
      </c>
      <c r="F16" s="75">
        <f t="shared" si="6"/>
        <v>21428571.428571429</v>
      </c>
      <c r="G16" s="75">
        <f t="shared" si="6"/>
        <v>28571428.571428571</v>
      </c>
      <c r="H16" s="75">
        <f t="shared" si="6"/>
        <v>35714285.714285716</v>
      </c>
      <c r="I16" s="16">
        <f t="shared" si="6"/>
        <v>42857142.857142858</v>
      </c>
      <c r="J16" s="16">
        <f t="shared" si="6"/>
        <v>57142857.142857142</v>
      </c>
      <c r="K16" s="16">
        <f t="shared" si="6"/>
        <v>71428571.428571433</v>
      </c>
      <c r="L16" s="16">
        <f t="shared" si="6"/>
        <v>85714285.714285716</v>
      </c>
      <c r="M16" s="75">
        <f t="shared" si="6"/>
        <v>107142857.14285715</v>
      </c>
      <c r="N16" s="75">
        <f t="shared" si="6"/>
        <v>128571428.57142857</v>
      </c>
      <c r="O16" s="75">
        <f t="shared" si="6"/>
        <v>150000000</v>
      </c>
      <c r="P16" s="75">
        <f>P4/3.5*500</f>
        <v>171428571.42857143</v>
      </c>
      <c r="Q16" s="17">
        <f>SUM(C16:P16)</f>
        <v>937857142.85714293</v>
      </c>
    </row>
    <row r="17" spans="2:17" ht="18.75" x14ac:dyDescent="0.3">
      <c r="B17" s="95" t="s">
        <v>7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7"/>
      <c r="Q17" s="14">
        <f>SUM(Q13:Q16)</f>
        <v>2766107142.8571429</v>
      </c>
    </row>
    <row r="18" spans="2:17" ht="18.75" x14ac:dyDescent="0.3">
      <c r="B18" s="38" t="s">
        <v>4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  <c r="Q18" s="7"/>
    </row>
    <row r="19" spans="2:17" x14ac:dyDescent="0.25">
      <c r="B19" s="18" t="s">
        <v>18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17">
        <f>SUM(C19:P19)</f>
        <v>0</v>
      </c>
    </row>
    <row r="20" spans="2:17" x14ac:dyDescent="0.25">
      <c r="B20" s="18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17">
        <f>SUM(C20:P20)</f>
        <v>0</v>
      </c>
    </row>
    <row r="21" spans="2:17" x14ac:dyDescent="0.25">
      <c r="B21" s="18" t="s">
        <v>20</v>
      </c>
      <c r="C21" s="19">
        <f>C4*10</f>
        <v>800000</v>
      </c>
      <c r="D21" s="19">
        <f t="shared" ref="D21:P21" si="7">D4*10</f>
        <v>850000</v>
      </c>
      <c r="E21" s="77">
        <f t="shared" si="7"/>
        <v>1000000</v>
      </c>
      <c r="F21" s="77">
        <f t="shared" si="7"/>
        <v>1500000</v>
      </c>
      <c r="G21" s="77">
        <f t="shared" si="7"/>
        <v>2000000</v>
      </c>
      <c r="H21" s="77">
        <f t="shared" si="7"/>
        <v>2500000</v>
      </c>
      <c r="I21" s="19">
        <f t="shared" si="7"/>
        <v>3000000</v>
      </c>
      <c r="J21" s="19">
        <f t="shared" si="7"/>
        <v>4000000</v>
      </c>
      <c r="K21" s="19">
        <f t="shared" si="7"/>
        <v>5000000</v>
      </c>
      <c r="L21" s="19">
        <f t="shared" si="7"/>
        <v>6000000</v>
      </c>
      <c r="M21" s="77">
        <f t="shared" si="7"/>
        <v>7500000</v>
      </c>
      <c r="N21" s="77">
        <f t="shared" si="7"/>
        <v>9000000</v>
      </c>
      <c r="O21" s="77">
        <f t="shared" si="7"/>
        <v>10500000</v>
      </c>
      <c r="P21" s="77">
        <f t="shared" si="7"/>
        <v>12000000</v>
      </c>
      <c r="Q21" s="17">
        <f>SUM(C21:P21)</f>
        <v>65650000</v>
      </c>
    </row>
    <row r="22" spans="2:17" ht="18.75" x14ac:dyDescent="0.3"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4">
        <f>SUM(Q19:Q21)</f>
        <v>65650000</v>
      </c>
    </row>
    <row r="23" spans="2:17" x14ac:dyDescent="0.2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6" t="s">
        <v>9</v>
      </c>
    </row>
    <row r="24" spans="2:17" ht="18.75" x14ac:dyDescent="0.3">
      <c r="B24" s="22" t="s">
        <v>5</v>
      </c>
      <c r="C24" s="23">
        <f t="shared" ref="C24:P24" si="8">C21+C20+C19+C16+C15+C14+C13+C11</f>
        <v>61328571.428571433</v>
      </c>
      <c r="D24" s="23">
        <f t="shared" si="8"/>
        <v>76942857.142857134</v>
      </c>
      <c r="E24" s="23">
        <f t="shared" si="8"/>
        <v>91785714.285714284</v>
      </c>
      <c r="F24" s="23">
        <f t="shared" si="8"/>
        <v>124928571.42857143</v>
      </c>
      <c r="G24" s="23">
        <f t="shared" si="8"/>
        <v>158071428.57142857</v>
      </c>
      <c r="H24" s="23">
        <f t="shared" si="8"/>
        <v>198714285.71428573</v>
      </c>
      <c r="I24" s="23">
        <f t="shared" si="8"/>
        <v>235357142.85714287</v>
      </c>
      <c r="J24" s="23">
        <f t="shared" si="8"/>
        <v>298142857.14285713</v>
      </c>
      <c r="K24" s="23">
        <f t="shared" si="8"/>
        <v>338428571.42857146</v>
      </c>
      <c r="L24" s="23">
        <f t="shared" si="8"/>
        <v>390714285.71428573</v>
      </c>
      <c r="M24" s="23">
        <f t="shared" si="8"/>
        <v>469142857.14285713</v>
      </c>
      <c r="N24" s="23">
        <f t="shared" si="8"/>
        <v>547571428.57142854</v>
      </c>
      <c r="O24" s="23">
        <f t="shared" si="8"/>
        <v>626000000</v>
      </c>
      <c r="P24" s="23">
        <f t="shared" si="8"/>
        <v>704428571.42857146</v>
      </c>
      <c r="Q24" s="24">
        <f>Q22+Q17+Q11</f>
        <v>4321557142.8571434</v>
      </c>
    </row>
    <row r="25" spans="2:17" x14ac:dyDescent="0.25">
      <c r="Q25" s="4"/>
    </row>
    <row r="26" spans="2:17" x14ac:dyDescent="0.25">
      <c r="Q26" s="4"/>
    </row>
    <row r="27" spans="2:17" ht="21" x14ac:dyDescent="0.35">
      <c r="B27" s="28" t="s">
        <v>35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65"/>
      <c r="Q27" s="51" t="s">
        <v>58</v>
      </c>
    </row>
    <row r="28" spans="2:17" ht="18.75" x14ac:dyDescent="0.3">
      <c r="B28" s="37" t="s">
        <v>6</v>
      </c>
      <c r="C28" s="71" t="s">
        <v>41</v>
      </c>
      <c r="D28" s="71" t="s">
        <v>42</v>
      </c>
      <c r="E28" s="72" t="s">
        <v>49</v>
      </c>
      <c r="F28" s="72" t="s">
        <v>50</v>
      </c>
      <c r="G28" s="72" t="s">
        <v>43</v>
      </c>
      <c r="H28" s="72" t="s">
        <v>44</v>
      </c>
      <c r="I28" s="71" t="s">
        <v>51</v>
      </c>
      <c r="J28" s="71" t="s">
        <v>52</v>
      </c>
      <c r="K28" s="71" t="s">
        <v>45</v>
      </c>
      <c r="L28" s="71" t="s">
        <v>46</v>
      </c>
      <c r="M28" s="72" t="s">
        <v>53</v>
      </c>
      <c r="N28" s="72" t="s">
        <v>54</v>
      </c>
      <c r="O28" s="72" t="s">
        <v>47</v>
      </c>
      <c r="P28" s="73" t="s">
        <v>48</v>
      </c>
      <c r="Q28" s="50"/>
    </row>
    <row r="29" spans="2:17" x14ac:dyDescent="0.25">
      <c r="B29" s="39" t="s">
        <v>21</v>
      </c>
      <c r="C29" s="40">
        <v>2000000</v>
      </c>
      <c r="D29" s="40">
        <v>2000000</v>
      </c>
      <c r="E29" s="42">
        <v>2000000</v>
      </c>
      <c r="F29" s="42">
        <v>2000000</v>
      </c>
      <c r="G29" s="42">
        <v>2000000</v>
      </c>
      <c r="H29" s="42">
        <v>2000000</v>
      </c>
      <c r="I29" s="40">
        <v>2000000</v>
      </c>
      <c r="J29" s="40">
        <v>2000000</v>
      </c>
      <c r="K29" s="40">
        <v>2000000</v>
      </c>
      <c r="L29" s="40">
        <v>2000000</v>
      </c>
      <c r="M29" s="42">
        <v>2000000</v>
      </c>
      <c r="N29" s="42">
        <v>2000000</v>
      </c>
      <c r="O29" s="42">
        <v>2000000</v>
      </c>
      <c r="P29" s="42">
        <v>2000000</v>
      </c>
      <c r="Q29" s="41">
        <f>SUM(C29:P29)</f>
        <v>28000000</v>
      </c>
    </row>
    <row r="30" spans="2:17" x14ac:dyDescent="0.25">
      <c r="B30" s="46" t="s">
        <v>22</v>
      </c>
      <c r="C30" s="47">
        <f>C4*15*3</f>
        <v>3600000</v>
      </c>
      <c r="D30" s="47">
        <f t="shared" ref="D30:P30" si="9">D4*15*3</f>
        <v>3825000</v>
      </c>
      <c r="E30" s="69">
        <f t="shared" si="9"/>
        <v>4500000</v>
      </c>
      <c r="F30" s="69">
        <f t="shared" si="9"/>
        <v>6750000</v>
      </c>
      <c r="G30" s="69">
        <f t="shared" si="9"/>
        <v>9000000</v>
      </c>
      <c r="H30" s="69">
        <f t="shared" si="9"/>
        <v>11250000</v>
      </c>
      <c r="I30" s="47">
        <f t="shared" si="9"/>
        <v>13500000</v>
      </c>
      <c r="J30" s="47">
        <f t="shared" si="9"/>
        <v>18000000</v>
      </c>
      <c r="K30" s="47">
        <f t="shared" si="9"/>
        <v>22500000</v>
      </c>
      <c r="L30" s="47">
        <f t="shared" si="9"/>
        <v>27000000</v>
      </c>
      <c r="M30" s="69">
        <f t="shared" si="9"/>
        <v>33750000</v>
      </c>
      <c r="N30" s="69">
        <f t="shared" si="9"/>
        <v>40500000</v>
      </c>
      <c r="O30" s="69">
        <f t="shared" si="9"/>
        <v>47250000</v>
      </c>
      <c r="P30" s="69">
        <f t="shared" si="9"/>
        <v>54000000</v>
      </c>
      <c r="Q30" s="41">
        <f>SUM(C30:P30)</f>
        <v>295425000</v>
      </c>
    </row>
    <row r="31" spans="2:17" ht="18.75" x14ac:dyDescent="0.3">
      <c r="B31" s="38" t="s">
        <v>36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</row>
    <row r="32" spans="2:17" x14ac:dyDescent="0.25">
      <c r="B32" s="8" t="s">
        <v>29</v>
      </c>
      <c r="C32" s="9">
        <v>25</v>
      </c>
      <c r="D32" s="9">
        <v>25</v>
      </c>
      <c r="E32" s="54">
        <v>30</v>
      </c>
      <c r="F32" s="54">
        <v>30</v>
      </c>
      <c r="G32" s="54">
        <v>30</v>
      </c>
      <c r="H32" s="54">
        <v>30</v>
      </c>
      <c r="I32" s="9">
        <v>35</v>
      </c>
      <c r="J32" s="9">
        <v>35</v>
      </c>
      <c r="K32" s="9">
        <v>35</v>
      </c>
      <c r="L32" s="9">
        <v>35</v>
      </c>
      <c r="M32" s="54">
        <v>35</v>
      </c>
      <c r="N32" s="54">
        <v>35</v>
      </c>
      <c r="O32" s="54">
        <v>35</v>
      </c>
      <c r="P32" s="54">
        <v>35</v>
      </c>
      <c r="Q32" s="43"/>
    </row>
    <row r="33" spans="2:17" x14ac:dyDescent="0.25">
      <c r="B33" s="8" t="s">
        <v>64</v>
      </c>
      <c r="C33" s="9">
        <v>500000</v>
      </c>
      <c r="D33" s="9">
        <v>500000</v>
      </c>
      <c r="E33" s="54">
        <v>500000</v>
      </c>
      <c r="F33" s="54">
        <v>500000</v>
      </c>
      <c r="G33" s="54">
        <v>500000</v>
      </c>
      <c r="H33" s="54">
        <v>500000</v>
      </c>
      <c r="I33" s="9">
        <v>500000</v>
      </c>
      <c r="J33" s="9">
        <v>500000</v>
      </c>
      <c r="K33" s="9">
        <v>500000</v>
      </c>
      <c r="L33" s="9">
        <v>500000</v>
      </c>
      <c r="M33" s="54">
        <v>500000</v>
      </c>
      <c r="N33" s="54">
        <v>500000</v>
      </c>
      <c r="O33" s="54">
        <v>500000</v>
      </c>
      <c r="P33" s="54">
        <v>500000</v>
      </c>
      <c r="Q33" s="43"/>
    </row>
    <row r="34" spans="2:17" x14ac:dyDescent="0.25">
      <c r="B34" s="44" t="s">
        <v>23</v>
      </c>
      <c r="C34" s="6">
        <f>C33*C32*3</f>
        <v>37500000</v>
      </c>
      <c r="D34" s="6">
        <f t="shared" ref="D34:O34" si="10">D33*D32*3</f>
        <v>37500000</v>
      </c>
      <c r="E34" s="70">
        <f t="shared" si="10"/>
        <v>45000000</v>
      </c>
      <c r="F34" s="70">
        <f t="shared" si="10"/>
        <v>45000000</v>
      </c>
      <c r="G34" s="70">
        <f t="shared" si="10"/>
        <v>45000000</v>
      </c>
      <c r="H34" s="70">
        <f t="shared" si="10"/>
        <v>45000000</v>
      </c>
      <c r="I34" s="6">
        <f t="shared" si="10"/>
        <v>52500000</v>
      </c>
      <c r="J34" s="6">
        <f t="shared" si="10"/>
        <v>52500000</v>
      </c>
      <c r="K34" s="6">
        <f t="shared" si="10"/>
        <v>52500000</v>
      </c>
      <c r="L34" s="6">
        <f t="shared" si="10"/>
        <v>52500000</v>
      </c>
      <c r="M34" s="70">
        <f t="shared" si="10"/>
        <v>52500000</v>
      </c>
      <c r="N34" s="70">
        <f t="shared" si="10"/>
        <v>52500000</v>
      </c>
      <c r="O34" s="70">
        <f t="shared" si="10"/>
        <v>52500000</v>
      </c>
      <c r="P34" s="70">
        <f>P33*P32*3</f>
        <v>52500000</v>
      </c>
      <c r="Q34" s="41">
        <f>SUM(C34:P34)</f>
        <v>675000000</v>
      </c>
    </row>
    <row r="35" spans="2:17" x14ac:dyDescent="0.25">
      <c r="B35" s="45" t="s">
        <v>24</v>
      </c>
      <c r="C35" s="9">
        <f>C32*20000*3</f>
        <v>1500000</v>
      </c>
      <c r="D35" s="9">
        <f t="shared" ref="D35:P35" si="11">D32*20000*3</f>
        <v>1500000</v>
      </c>
      <c r="E35" s="54">
        <f t="shared" si="11"/>
        <v>1800000</v>
      </c>
      <c r="F35" s="54">
        <f t="shared" si="11"/>
        <v>1800000</v>
      </c>
      <c r="G35" s="54">
        <f t="shared" si="11"/>
        <v>1800000</v>
      </c>
      <c r="H35" s="54">
        <f t="shared" si="11"/>
        <v>1800000</v>
      </c>
      <c r="I35" s="9">
        <f t="shared" si="11"/>
        <v>2100000</v>
      </c>
      <c r="J35" s="9">
        <f t="shared" si="11"/>
        <v>2100000</v>
      </c>
      <c r="K35" s="9">
        <f t="shared" si="11"/>
        <v>2100000</v>
      </c>
      <c r="L35" s="9">
        <f t="shared" si="11"/>
        <v>2100000</v>
      </c>
      <c r="M35" s="54">
        <f t="shared" si="11"/>
        <v>2100000</v>
      </c>
      <c r="N35" s="54">
        <f t="shared" si="11"/>
        <v>2100000</v>
      </c>
      <c r="O35" s="54">
        <f t="shared" si="11"/>
        <v>2100000</v>
      </c>
      <c r="P35" s="54">
        <f t="shared" si="11"/>
        <v>2100000</v>
      </c>
      <c r="Q35" s="41">
        <f>SUM(C35:P35)</f>
        <v>27000000</v>
      </c>
    </row>
    <row r="36" spans="2:17" x14ac:dyDescent="0.25">
      <c r="B36" s="45" t="s">
        <v>26</v>
      </c>
      <c r="C36" s="9">
        <f>C32*50000*3</f>
        <v>3750000</v>
      </c>
      <c r="D36" s="9">
        <f t="shared" ref="D36:P36" si="12">D32*50000*3</f>
        <v>3750000</v>
      </c>
      <c r="E36" s="54">
        <f t="shared" si="12"/>
        <v>4500000</v>
      </c>
      <c r="F36" s="54">
        <f t="shared" si="12"/>
        <v>4500000</v>
      </c>
      <c r="G36" s="54">
        <f t="shared" si="12"/>
        <v>4500000</v>
      </c>
      <c r="H36" s="54">
        <f t="shared" si="12"/>
        <v>4500000</v>
      </c>
      <c r="I36" s="9">
        <f t="shared" si="12"/>
        <v>5250000</v>
      </c>
      <c r="J36" s="9">
        <f t="shared" si="12"/>
        <v>5250000</v>
      </c>
      <c r="K36" s="9">
        <f t="shared" si="12"/>
        <v>5250000</v>
      </c>
      <c r="L36" s="9">
        <f t="shared" si="12"/>
        <v>5250000</v>
      </c>
      <c r="M36" s="54">
        <f t="shared" si="12"/>
        <v>5250000</v>
      </c>
      <c r="N36" s="54">
        <f t="shared" si="12"/>
        <v>5250000</v>
      </c>
      <c r="O36" s="54">
        <f t="shared" si="12"/>
        <v>5250000</v>
      </c>
      <c r="P36" s="54">
        <f t="shared" si="12"/>
        <v>5250000</v>
      </c>
      <c r="Q36" s="41">
        <f>SUM(C36:P36)</f>
        <v>67500000</v>
      </c>
    </row>
    <row r="37" spans="2:17" x14ac:dyDescent="0.25">
      <c r="B37" s="45" t="s">
        <v>25</v>
      </c>
      <c r="C37" s="9">
        <v>2000000</v>
      </c>
      <c r="D37" s="9"/>
      <c r="E37" s="54">
        <v>2000000</v>
      </c>
      <c r="F37" s="54"/>
      <c r="G37" s="54">
        <v>2000000</v>
      </c>
      <c r="H37" s="54"/>
      <c r="I37" s="9">
        <v>2000000</v>
      </c>
      <c r="J37" s="9"/>
      <c r="K37" s="9">
        <v>2000000</v>
      </c>
      <c r="L37" s="9"/>
      <c r="M37" s="54">
        <v>2000000</v>
      </c>
      <c r="N37" s="54"/>
      <c r="O37" s="54">
        <v>2000000</v>
      </c>
      <c r="P37" s="54"/>
      <c r="Q37" s="41">
        <f>SUM(C37:P37)</f>
        <v>14000000</v>
      </c>
    </row>
    <row r="38" spans="2:17" ht="18.75" x14ac:dyDescent="0.3">
      <c r="B38" s="37" t="s">
        <v>38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9"/>
      <c r="Q38" s="43"/>
    </row>
    <row r="39" spans="2:17" x14ac:dyDescent="0.25">
      <c r="B39" s="45" t="s">
        <v>32</v>
      </c>
      <c r="C39" s="9">
        <f>C32*300000</f>
        <v>7500000</v>
      </c>
      <c r="D39" s="9"/>
      <c r="E39" s="54">
        <f>E32*300000</f>
        <v>9000000</v>
      </c>
      <c r="F39" s="54"/>
      <c r="G39" s="54">
        <f>G32*300000</f>
        <v>9000000</v>
      </c>
      <c r="H39" s="54"/>
      <c r="I39" s="9">
        <f>I32*300000</f>
        <v>10500000</v>
      </c>
      <c r="J39" s="9"/>
      <c r="K39" s="9">
        <f>K32*300000</f>
        <v>10500000</v>
      </c>
      <c r="L39" s="9"/>
      <c r="M39" s="54">
        <f>M32*300000</f>
        <v>10500000</v>
      </c>
      <c r="N39" s="54"/>
      <c r="O39" s="54">
        <f>O32*300000</f>
        <v>10500000</v>
      </c>
      <c r="P39" s="62"/>
      <c r="Q39" s="41">
        <f>SUM(C39:P39)</f>
        <v>67500000</v>
      </c>
    </row>
    <row r="40" spans="2:17" x14ac:dyDescent="0.25">
      <c r="B40" s="100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2"/>
      <c r="Q40" s="43"/>
    </row>
    <row r="41" spans="2:17" ht="18.75" x14ac:dyDescent="0.3">
      <c r="B41" s="38" t="s">
        <v>37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</row>
    <row r="42" spans="2:17" x14ac:dyDescent="0.25">
      <c r="B42" s="45" t="s">
        <v>27</v>
      </c>
      <c r="C42" s="9">
        <v>500000</v>
      </c>
      <c r="D42" s="9">
        <v>500000</v>
      </c>
      <c r="E42" s="54">
        <v>500000</v>
      </c>
      <c r="F42" s="54">
        <v>500000</v>
      </c>
      <c r="G42" s="54">
        <v>500000</v>
      </c>
      <c r="H42" s="54">
        <v>500000</v>
      </c>
      <c r="I42" s="9">
        <v>500000</v>
      </c>
      <c r="J42" s="9">
        <v>500000</v>
      </c>
      <c r="K42" s="9">
        <v>500000</v>
      </c>
      <c r="L42" s="9">
        <v>500000</v>
      </c>
      <c r="M42" s="54">
        <v>500000</v>
      </c>
      <c r="N42" s="54">
        <v>500000</v>
      </c>
      <c r="O42" s="54">
        <v>500000</v>
      </c>
      <c r="P42" s="54">
        <v>500000</v>
      </c>
      <c r="Q42" s="41">
        <f>SUM(C42:P42)</f>
        <v>7000000</v>
      </c>
    </row>
    <row r="43" spans="2:17" x14ac:dyDescent="0.25">
      <c r="B43" s="45" t="s">
        <v>28</v>
      </c>
      <c r="C43" s="9">
        <v>250000</v>
      </c>
      <c r="D43" s="9">
        <v>250000</v>
      </c>
      <c r="E43" s="54">
        <v>250000</v>
      </c>
      <c r="F43" s="54">
        <v>250000</v>
      </c>
      <c r="G43" s="54">
        <v>250000</v>
      </c>
      <c r="H43" s="54">
        <v>250000</v>
      </c>
      <c r="I43" s="9">
        <v>250000</v>
      </c>
      <c r="J43" s="9">
        <v>250000</v>
      </c>
      <c r="K43" s="9">
        <v>250000</v>
      </c>
      <c r="L43" s="9">
        <v>250000</v>
      </c>
      <c r="M43" s="54">
        <v>250000</v>
      </c>
      <c r="N43" s="54">
        <v>250000</v>
      </c>
      <c r="O43" s="54">
        <v>250000</v>
      </c>
      <c r="P43" s="54">
        <v>250000</v>
      </c>
      <c r="Q43" s="41">
        <f>SUM(C43:P43)</f>
        <v>3500000</v>
      </c>
    </row>
    <row r="44" spans="2:17" x14ac:dyDescent="0.25">
      <c r="B44" s="45" t="s">
        <v>59</v>
      </c>
      <c r="C44" s="9">
        <f>C5*5000</f>
        <v>4000000</v>
      </c>
      <c r="D44" s="9">
        <f t="shared" ref="D44:P44" si="13">D5*5000</f>
        <v>4250000</v>
      </c>
      <c r="E44" s="54">
        <f t="shared" si="13"/>
        <v>5000000</v>
      </c>
      <c r="F44" s="54">
        <f t="shared" si="13"/>
        <v>7500000</v>
      </c>
      <c r="G44" s="54">
        <f t="shared" si="13"/>
        <v>10000000</v>
      </c>
      <c r="H44" s="54">
        <f t="shared" si="13"/>
        <v>12500000</v>
      </c>
      <c r="I44" s="9">
        <f t="shared" si="13"/>
        <v>15000000</v>
      </c>
      <c r="J44" s="9">
        <f t="shared" si="13"/>
        <v>20000000</v>
      </c>
      <c r="K44" s="9">
        <f t="shared" si="13"/>
        <v>25000000</v>
      </c>
      <c r="L44" s="9">
        <f t="shared" si="13"/>
        <v>30000000</v>
      </c>
      <c r="M44" s="54">
        <f t="shared" si="13"/>
        <v>37500000</v>
      </c>
      <c r="N44" s="54">
        <f t="shared" si="13"/>
        <v>45000000</v>
      </c>
      <c r="O44" s="54">
        <f t="shared" si="13"/>
        <v>52500000</v>
      </c>
      <c r="P44" s="54">
        <f t="shared" si="13"/>
        <v>60000000</v>
      </c>
      <c r="Q44" s="41">
        <f>SUM(C44:P44)</f>
        <v>328250000</v>
      </c>
    </row>
    <row r="45" spans="2:17" x14ac:dyDescent="0.25"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43"/>
    </row>
    <row r="46" spans="2:17" x14ac:dyDescent="0.25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6" t="s">
        <v>9</v>
      </c>
    </row>
    <row r="47" spans="2:17" ht="18.75" x14ac:dyDescent="0.3">
      <c r="B47" s="22" t="s">
        <v>31</v>
      </c>
      <c r="C47" s="23">
        <f>C29+C30+C34+C35+C36+C37+C39+C42+C43+C44</f>
        <v>62600000</v>
      </c>
      <c r="D47" s="23">
        <f t="shared" ref="D47:P47" si="14">D29+D30+D34+D35+D36+D37+D39+D42+D43+D44</f>
        <v>53575000</v>
      </c>
      <c r="E47" s="23">
        <f t="shared" si="14"/>
        <v>74550000</v>
      </c>
      <c r="F47" s="23">
        <f t="shared" si="14"/>
        <v>68300000</v>
      </c>
      <c r="G47" s="23">
        <f t="shared" si="14"/>
        <v>84050000</v>
      </c>
      <c r="H47" s="23">
        <f t="shared" si="14"/>
        <v>77800000</v>
      </c>
      <c r="I47" s="23">
        <f t="shared" si="14"/>
        <v>103600000</v>
      </c>
      <c r="J47" s="23">
        <f t="shared" si="14"/>
        <v>100600000</v>
      </c>
      <c r="K47" s="23">
        <f t="shared" si="14"/>
        <v>122600000</v>
      </c>
      <c r="L47" s="23">
        <f t="shared" si="14"/>
        <v>119600000</v>
      </c>
      <c r="M47" s="23">
        <f t="shared" si="14"/>
        <v>146350000</v>
      </c>
      <c r="N47" s="23">
        <f t="shared" si="14"/>
        <v>148100000</v>
      </c>
      <c r="O47" s="23">
        <f t="shared" si="14"/>
        <v>174850000</v>
      </c>
      <c r="P47" s="23">
        <f t="shared" si="14"/>
        <v>176600000</v>
      </c>
      <c r="Q47" s="24">
        <f>SUM(C47:P47)</f>
        <v>1513175000</v>
      </c>
    </row>
    <row r="48" spans="2:17" ht="18.75" x14ac:dyDescent="0.3">
      <c r="Q48" s="25"/>
    </row>
    <row r="49" spans="2:17" ht="15.75" x14ac:dyDescent="0.25">
      <c r="B49" s="53" t="s">
        <v>39</v>
      </c>
      <c r="C49" s="3">
        <f>C24-C47+136879400</f>
        <v>135607971.42857143</v>
      </c>
      <c r="D49" s="52">
        <f>C49+(D24-D47)</f>
        <v>158975828.57142857</v>
      </c>
      <c r="E49" s="52">
        <f>D49+(E24-E47)</f>
        <v>176211542.85714287</v>
      </c>
      <c r="F49" s="52">
        <f t="shared" ref="F49:P49" si="15">E49+(F24-F47)</f>
        <v>232840114.2857143</v>
      </c>
      <c r="G49" s="52">
        <f t="shared" si="15"/>
        <v>306861542.85714287</v>
      </c>
      <c r="H49" s="52">
        <f>G49+(H24-H47)</f>
        <v>427775828.5714286</v>
      </c>
      <c r="I49" s="3">
        <f t="shared" si="15"/>
        <v>559532971.42857146</v>
      </c>
      <c r="J49" s="52">
        <f>I49+(J24-J47)</f>
        <v>757075828.57142854</v>
      </c>
      <c r="K49" s="52">
        <f t="shared" si="15"/>
        <v>972904400</v>
      </c>
      <c r="L49" s="52">
        <f t="shared" si="15"/>
        <v>1244018685.7142859</v>
      </c>
      <c r="M49" s="52">
        <f t="shared" si="15"/>
        <v>1566811542.8571429</v>
      </c>
      <c r="N49" s="52">
        <f t="shared" si="15"/>
        <v>1966282971.4285715</v>
      </c>
      <c r="O49" s="52">
        <f t="shared" si="15"/>
        <v>2417432971.4285717</v>
      </c>
      <c r="P49" s="3">
        <f t="shared" si="15"/>
        <v>2945261542.8571434</v>
      </c>
      <c r="Q49" s="52"/>
    </row>
    <row r="50" spans="2:17" x14ac:dyDescent="0.25">
      <c r="B50" s="68" t="s">
        <v>65</v>
      </c>
      <c r="C50" s="67">
        <f>C24-C47</f>
        <v>-1271428.5714285672</v>
      </c>
      <c r="D50" s="67">
        <f t="shared" ref="D50:P50" si="16">D24-D47</f>
        <v>23367857.142857134</v>
      </c>
      <c r="E50" s="67">
        <f t="shared" si="16"/>
        <v>17235714.285714284</v>
      </c>
      <c r="F50" s="67">
        <f t="shared" si="16"/>
        <v>56628571.428571433</v>
      </c>
      <c r="G50" s="67">
        <f t="shared" si="16"/>
        <v>74021428.571428567</v>
      </c>
      <c r="H50" s="67">
        <f t="shared" si="16"/>
        <v>120914285.71428573</v>
      </c>
      <c r="I50" s="67">
        <f t="shared" si="16"/>
        <v>131757142.85714287</v>
      </c>
      <c r="J50" s="67">
        <f t="shared" si="16"/>
        <v>197542857.14285713</v>
      </c>
      <c r="K50" s="67">
        <f t="shared" si="16"/>
        <v>215828571.42857146</v>
      </c>
      <c r="L50" s="67">
        <f t="shared" si="16"/>
        <v>271114285.71428573</v>
      </c>
      <c r="M50" s="67">
        <f t="shared" si="16"/>
        <v>322792857.14285713</v>
      </c>
      <c r="N50" s="67">
        <f t="shared" si="16"/>
        <v>399471428.57142854</v>
      </c>
      <c r="O50" s="67">
        <f t="shared" si="16"/>
        <v>451150000</v>
      </c>
      <c r="P50" s="67">
        <f t="shared" si="16"/>
        <v>527828571.42857146</v>
      </c>
      <c r="Q50" s="66"/>
    </row>
    <row r="51" spans="2:17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</sheetData>
  <mergeCells count="5">
    <mergeCell ref="C1:F1"/>
    <mergeCell ref="B17:P17"/>
    <mergeCell ref="B22:P22"/>
    <mergeCell ref="B40:P40"/>
    <mergeCell ref="B45:P45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üzleti év (2011-2012)</vt:lpstr>
      <vt:lpstr>2-4. üzleti év (2012-2015)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Yarlath</dc:creator>
  <cp:lastModifiedBy>Voyag3r</cp:lastModifiedBy>
  <cp:lastPrinted>2011-05-10T20:11:30Z</cp:lastPrinted>
  <dcterms:created xsi:type="dcterms:W3CDTF">2010-09-16T07:41:32Z</dcterms:created>
  <dcterms:modified xsi:type="dcterms:W3CDTF">2011-05-11T12:50:58Z</dcterms:modified>
</cp:coreProperties>
</file>