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W:\!!\. SAFE\1\1\i\"/>
    </mc:Choice>
  </mc:AlternateContent>
  <bookViews>
    <workbookView xWindow="0" yWindow="-15" windowWidth="20730" windowHeight="11760"/>
  </bookViews>
  <sheets>
    <sheet name="1st fiscal year" sheetId="1" r:id="rId1"/>
    <sheet name="Introduction of the market " sheetId="5" r:id="rId2"/>
  </sheets>
  <calcPr calcId="162913"/>
</workbook>
</file>

<file path=xl/calcChain.xml><?xml version="1.0" encoding="utf-8"?>
<calcChain xmlns="http://schemas.openxmlformats.org/spreadsheetml/2006/main">
  <c r="D45" i="1" l="1"/>
  <c r="E45" i="1"/>
  <c r="F45" i="1"/>
  <c r="G45" i="1"/>
  <c r="H45" i="1"/>
  <c r="I45" i="1"/>
  <c r="J45" i="1"/>
  <c r="K45" i="1"/>
  <c r="L45" i="1"/>
  <c r="M45" i="1"/>
  <c r="N45" i="1"/>
  <c r="O45" i="1"/>
  <c r="P45" i="1"/>
  <c r="Q45" i="1"/>
  <c r="R45" i="1"/>
  <c r="C47" i="1"/>
  <c r="D47" i="1"/>
  <c r="S47" i="1" s="1"/>
  <c r="E47" i="1"/>
  <c r="F47" i="1"/>
  <c r="G47" i="1"/>
  <c r="H47" i="1"/>
  <c r="I47" i="1"/>
  <c r="J47" i="1"/>
  <c r="K47" i="1"/>
  <c r="L47" i="1"/>
  <c r="M47" i="1"/>
  <c r="N47" i="1"/>
  <c r="O47" i="1"/>
  <c r="P47" i="1"/>
  <c r="Q47" i="1"/>
  <c r="R47" i="1"/>
  <c r="R23" i="1"/>
  <c r="Q23" i="1"/>
  <c r="P23" i="1"/>
  <c r="O23" i="1"/>
  <c r="N23" i="1"/>
  <c r="M23" i="1"/>
  <c r="L23" i="1"/>
  <c r="K23" i="1"/>
  <c r="J23" i="1"/>
  <c r="I23" i="1"/>
  <c r="H23" i="1"/>
  <c r="G23" i="1"/>
  <c r="E23" i="1"/>
  <c r="F23" i="1"/>
  <c r="S51" i="1"/>
  <c r="S37" i="1"/>
  <c r="S33" i="1"/>
  <c r="Q52" i="1" l="1"/>
  <c r="S52" i="1" s="1"/>
  <c r="D44" i="1"/>
  <c r="D43" i="1"/>
  <c r="D42" i="1"/>
  <c r="D25" i="1"/>
  <c r="D50" i="1" s="1"/>
  <c r="D49" i="1" l="1"/>
  <c r="D53" i="1" l="1"/>
  <c r="D54" i="1" s="1"/>
  <c r="F44" i="1"/>
  <c r="G44" i="1"/>
  <c r="H44" i="1"/>
  <c r="I44" i="1"/>
  <c r="J44" i="1"/>
  <c r="K44" i="1"/>
  <c r="L44" i="1"/>
  <c r="M44" i="1"/>
  <c r="N44" i="1"/>
  <c r="O44" i="1"/>
  <c r="P44" i="1"/>
  <c r="Q44" i="1"/>
  <c r="R44" i="1"/>
  <c r="E44" i="1"/>
  <c r="R43" i="1"/>
  <c r="Q43" i="1"/>
  <c r="P43" i="1"/>
  <c r="O43" i="1"/>
  <c r="N43" i="1"/>
  <c r="M43" i="1"/>
  <c r="L43" i="1"/>
  <c r="K43" i="1"/>
  <c r="J43" i="1"/>
  <c r="I43" i="1"/>
  <c r="H43" i="1"/>
  <c r="G43" i="1"/>
  <c r="F43" i="1"/>
  <c r="E43" i="1"/>
  <c r="C43" i="1"/>
  <c r="R6" i="1"/>
  <c r="P6" i="1"/>
  <c r="P15" i="1" s="1"/>
  <c r="N6" i="1"/>
  <c r="N16" i="1" s="1"/>
  <c r="M6" i="1"/>
  <c r="M16" i="1" s="1"/>
  <c r="L6" i="1"/>
  <c r="L15" i="1" s="1"/>
  <c r="K6" i="1"/>
  <c r="K15" i="1" s="1"/>
  <c r="I6" i="1"/>
  <c r="I16" i="1" s="1"/>
  <c r="G6" i="1"/>
  <c r="F6" i="1"/>
  <c r="F16" i="1" s="1"/>
  <c r="C42" i="1"/>
  <c r="C25" i="1"/>
  <c r="C50" i="1" s="1"/>
  <c r="S21" i="1"/>
  <c r="R24" i="1"/>
  <c r="R35" i="1" s="1"/>
  <c r="Q24" i="1"/>
  <c r="Q35" i="1" s="1"/>
  <c r="P24" i="1"/>
  <c r="P35" i="1" s="1"/>
  <c r="O24" i="1"/>
  <c r="O35" i="1" s="1"/>
  <c r="N24" i="1"/>
  <c r="N35" i="1" s="1"/>
  <c r="M24" i="1"/>
  <c r="M35" i="1" s="1"/>
  <c r="L24" i="1"/>
  <c r="L35" i="1" s="1"/>
  <c r="K24" i="1"/>
  <c r="K35" i="1" s="1"/>
  <c r="J24" i="1"/>
  <c r="J35" i="1" s="1"/>
  <c r="I24" i="1"/>
  <c r="I35" i="1" s="1"/>
  <c r="H24" i="1"/>
  <c r="H35" i="1" s="1"/>
  <c r="G24" i="1"/>
  <c r="G35" i="1" s="1"/>
  <c r="F24" i="1"/>
  <c r="F35" i="1" s="1"/>
  <c r="E24" i="1"/>
  <c r="E35" i="1" s="1"/>
  <c r="Q6" i="1"/>
  <c r="O6" i="1"/>
  <c r="O15" i="1" s="1"/>
  <c r="J6" i="1"/>
  <c r="J16" i="1" s="1"/>
  <c r="H6" i="1"/>
  <c r="H15" i="1" s="1"/>
  <c r="E6" i="1"/>
  <c r="E16" i="1" s="1"/>
  <c r="R12" i="1"/>
  <c r="Q12" i="1"/>
  <c r="P12" i="1"/>
  <c r="O12" i="1"/>
  <c r="N12" i="1"/>
  <c r="M12" i="1"/>
  <c r="L12" i="1"/>
  <c r="K12" i="1"/>
  <c r="J12" i="1"/>
  <c r="I12" i="1"/>
  <c r="H12" i="1"/>
  <c r="G12" i="1"/>
  <c r="F12" i="1"/>
  <c r="S11" i="1"/>
  <c r="E12" i="1"/>
  <c r="S44" i="1" l="1"/>
  <c r="S45" i="1"/>
  <c r="S43" i="1"/>
  <c r="S35" i="1"/>
  <c r="Q16" i="1"/>
  <c r="Q17" i="1"/>
  <c r="R16" i="1"/>
  <c r="R17" i="1"/>
  <c r="C49" i="1"/>
  <c r="C53" i="1" s="1"/>
  <c r="M7" i="1"/>
  <c r="E15" i="1"/>
  <c r="Q7" i="1"/>
  <c r="I17" i="1"/>
  <c r="I15" i="1"/>
  <c r="E7" i="1"/>
  <c r="M15" i="1"/>
  <c r="M17" i="1"/>
  <c r="I7" i="1"/>
  <c r="Q15" i="1"/>
  <c r="E17" i="1"/>
  <c r="K16" i="1"/>
  <c r="F7" i="1"/>
  <c r="J7" i="1"/>
  <c r="N7" i="1"/>
  <c r="R7" i="1"/>
  <c r="H16" i="1"/>
  <c r="L16" i="1"/>
  <c r="P16" i="1"/>
  <c r="F17" i="1"/>
  <c r="J17" i="1"/>
  <c r="N17" i="1"/>
  <c r="F15" i="1"/>
  <c r="J15" i="1"/>
  <c r="N15" i="1"/>
  <c r="R15" i="1"/>
  <c r="G16" i="1"/>
  <c r="O16" i="1"/>
  <c r="S23" i="1"/>
  <c r="G7" i="1"/>
  <c r="K7" i="1"/>
  <c r="O7" i="1"/>
  <c r="G17" i="1"/>
  <c r="K17" i="1"/>
  <c r="O17" i="1"/>
  <c r="G15" i="1"/>
  <c r="H7" i="1"/>
  <c r="L7" i="1"/>
  <c r="P7" i="1"/>
  <c r="H17" i="1"/>
  <c r="L17" i="1"/>
  <c r="P17" i="1"/>
  <c r="S12" i="1"/>
  <c r="F42" i="1"/>
  <c r="G42" i="1"/>
  <c r="H42" i="1"/>
  <c r="I42" i="1"/>
  <c r="J42" i="1"/>
  <c r="K42" i="1"/>
  <c r="L42" i="1"/>
  <c r="M42" i="1"/>
  <c r="N42" i="1"/>
  <c r="O42" i="1"/>
  <c r="P42" i="1"/>
  <c r="Q42" i="1"/>
  <c r="R42" i="1"/>
  <c r="E42" i="1"/>
  <c r="S22" i="1"/>
  <c r="S42" i="1" l="1"/>
  <c r="I9" i="1"/>
  <c r="I18" i="1" s="1"/>
  <c r="C54" i="1"/>
  <c r="M9" i="1"/>
  <c r="M18" i="1" s="1"/>
  <c r="Q9" i="1"/>
  <c r="Q18" i="1" s="1"/>
  <c r="E9" i="1"/>
  <c r="H9" i="1"/>
  <c r="H18" i="1" s="1"/>
  <c r="K9" i="1"/>
  <c r="K18" i="1" s="1"/>
  <c r="N9" i="1"/>
  <c r="N18" i="1" s="1"/>
  <c r="G9" i="1"/>
  <c r="G18" i="1" s="1"/>
  <c r="J9" i="1"/>
  <c r="J18" i="1" s="1"/>
  <c r="P9" i="1"/>
  <c r="P18" i="1" s="1"/>
  <c r="F9" i="1"/>
  <c r="F18" i="1" s="1"/>
  <c r="L9" i="1"/>
  <c r="L18" i="1" s="1"/>
  <c r="O9" i="1"/>
  <c r="O18" i="1" s="1"/>
  <c r="R9" i="1"/>
  <c r="R18" i="1" s="1"/>
  <c r="S15" i="1"/>
  <c r="S16" i="1"/>
  <c r="S17" i="1"/>
  <c r="S24" i="1"/>
  <c r="E18" i="1" l="1"/>
  <c r="S9" i="1"/>
  <c r="J13" i="1"/>
  <c r="J19" i="1"/>
  <c r="H13" i="1"/>
  <c r="H25" i="1" s="1"/>
  <c r="H19" i="1"/>
  <c r="L13" i="1"/>
  <c r="L19" i="1"/>
  <c r="G13" i="1"/>
  <c r="G19" i="1"/>
  <c r="E13" i="1"/>
  <c r="E19" i="1"/>
  <c r="I13" i="1"/>
  <c r="I25" i="1" s="1"/>
  <c r="I19" i="1"/>
  <c r="Q13" i="1"/>
  <c r="Q19" i="1"/>
  <c r="O13" i="1"/>
  <c r="O19" i="1"/>
  <c r="N13" i="1"/>
  <c r="N19" i="1"/>
  <c r="F13" i="1"/>
  <c r="F25" i="1" s="1"/>
  <c r="F19" i="1"/>
  <c r="R13" i="1"/>
  <c r="R19" i="1"/>
  <c r="P13" i="1"/>
  <c r="P19" i="1"/>
  <c r="M13" i="1"/>
  <c r="M19" i="1"/>
  <c r="K13" i="1"/>
  <c r="K25" i="1" s="1"/>
  <c r="K19" i="1"/>
  <c r="R25" i="1"/>
  <c r="P25" i="1" l="1"/>
  <c r="P29" i="1" s="1"/>
  <c r="O25" i="1"/>
  <c r="O30" i="1" s="1"/>
  <c r="G25" i="1"/>
  <c r="G49" i="1" s="1"/>
  <c r="S13" i="1"/>
  <c r="S19" i="1"/>
  <c r="N25" i="1"/>
  <c r="N50" i="1" s="1"/>
  <c r="M25" i="1"/>
  <c r="M36" i="1" s="1"/>
  <c r="E25" i="1"/>
  <c r="E34" i="1" s="1"/>
  <c r="J25" i="1"/>
  <c r="J29" i="1" s="1"/>
  <c r="Q25" i="1"/>
  <c r="Q31" i="1" s="1"/>
  <c r="L25" i="1"/>
  <c r="L49" i="1" s="1"/>
  <c r="R36" i="1"/>
  <c r="R34" i="1"/>
  <c r="Q49" i="1"/>
  <c r="O36" i="1"/>
  <c r="K36" i="1"/>
  <c r="K34" i="1"/>
  <c r="I36" i="1"/>
  <c r="I34" i="1"/>
  <c r="H34" i="1"/>
  <c r="H36" i="1"/>
  <c r="F36" i="1"/>
  <c r="F34" i="1"/>
  <c r="S18" i="1"/>
  <c r="R31" i="1"/>
  <c r="R30" i="1"/>
  <c r="R29" i="1"/>
  <c r="F31" i="1"/>
  <c r="F30" i="1"/>
  <c r="F29" i="1"/>
  <c r="I31" i="1"/>
  <c r="I29" i="1"/>
  <c r="I30" i="1"/>
  <c r="K31" i="1"/>
  <c r="K29" i="1"/>
  <c r="K30" i="1"/>
  <c r="O31" i="1"/>
  <c r="H31" i="1"/>
  <c r="H29" i="1"/>
  <c r="H30" i="1"/>
  <c r="J50" i="1"/>
  <c r="F49" i="1"/>
  <c r="K49" i="1"/>
  <c r="K50" i="1"/>
  <c r="R50" i="1"/>
  <c r="O50" i="1"/>
  <c r="F50" i="1"/>
  <c r="H50" i="1"/>
  <c r="J49" i="1"/>
  <c r="H49" i="1"/>
  <c r="R49" i="1"/>
  <c r="I49" i="1"/>
  <c r="I50" i="1"/>
  <c r="J30" i="1" l="1"/>
  <c r="J31" i="1"/>
  <c r="P31" i="1"/>
  <c r="P34" i="1"/>
  <c r="P30" i="1"/>
  <c r="P50" i="1"/>
  <c r="P49" i="1"/>
  <c r="O34" i="1"/>
  <c r="N29" i="1"/>
  <c r="N31" i="1"/>
  <c r="E50" i="1"/>
  <c r="G30" i="1"/>
  <c r="L31" i="1"/>
  <c r="G29" i="1"/>
  <c r="O49" i="1"/>
  <c r="G31" i="1"/>
  <c r="J34" i="1"/>
  <c r="P36" i="1"/>
  <c r="G50" i="1"/>
  <c r="G34" i="1"/>
  <c r="Q30" i="1"/>
  <c r="O29" i="1"/>
  <c r="O53" i="1" s="1"/>
  <c r="G36" i="1"/>
  <c r="M34" i="1"/>
  <c r="M50" i="1"/>
  <c r="N36" i="1"/>
  <c r="N34" i="1"/>
  <c r="N49" i="1"/>
  <c r="N53" i="1" s="1"/>
  <c r="L30" i="1"/>
  <c r="M31" i="1"/>
  <c r="J36" i="1"/>
  <c r="Q50" i="1"/>
  <c r="L36" i="1"/>
  <c r="N30" i="1"/>
  <c r="Q29" i="1"/>
  <c r="L34" i="1"/>
  <c r="Q34" i="1"/>
  <c r="E49" i="1"/>
  <c r="E30" i="1"/>
  <c r="L29" i="1"/>
  <c r="E31" i="1"/>
  <c r="E29" i="1"/>
  <c r="S38" i="1" s="1"/>
  <c r="S25" i="1"/>
  <c r="L50" i="1"/>
  <c r="M29" i="1"/>
  <c r="M49" i="1"/>
  <c r="M30" i="1"/>
  <c r="Q36" i="1"/>
  <c r="E36" i="1"/>
  <c r="R53" i="1"/>
  <c r="I53" i="1"/>
  <c r="F53" i="1"/>
  <c r="J53" i="1"/>
  <c r="H53" i="1"/>
  <c r="K53" i="1"/>
  <c r="P53" i="1" l="1"/>
  <c r="Q53" i="1"/>
  <c r="S50" i="1"/>
  <c r="S34" i="1"/>
  <c r="G53" i="1"/>
  <c r="S31" i="1"/>
  <c r="S49" i="1"/>
  <c r="S36" i="1"/>
  <c r="L53" i="1"/>
  <c r="M53" i="1"/>
  <c r="S30" i="1"/>
  <c r="S29" i="1"/>
  <c r="E53" i="1"/>
  <c r="E54" i="1" s="1"/>
  <c r="F54" i="1" s="1"/>
  <c r="G54" i="1" s="1"/>
  <c r="H54" i="1" s="1"/>
  <c r="I54" i="1" s="1"/>
  <c r="J54" i="1" s="1"/>
  <c r="K54" i="1" s="1"/>
  <c r="S53" i="1" l="1"/>
  <c r="S54" i="1" s="1"/>
  <c r="L54" i="1"/>
  <c r="M54" i="1" s="1"/>
  <c r="N54" i="1" s="1"/>
  <c r="O54" i="1" s="1"/>
  <c r="P54" i="1" s="1"/>
  <c r="Q54" i="1" s="1"/>
  <c r="R54" i="1" s="1"/>
</calcChain>
</file>

<file path=xl/comments1.xml><?xml version="1.0" encoding="utf-8"?>
<comments xmlns="http://schemas.openxmlformats.org/spreadsheetml/2006/main">
  <authors>
    <author>Yarlath</author>
  </authors>
  <commentList>
    <comment ref="B5" authorId="0" shapeId="0">
      <text>
        <r>
          <rPr>
            <b/>
            <sz val="9"/>
            <color indexed="81"/>
            <rFont val="Tahoma"/>
            <family val="2"/>
            <charset val="238"/>
          </rPr>
          <t xml:space="preserve">The key of the project is the portal's attendance.
</t>
        </r>
        <r>
          <rPr>
            <sz val="9"/>
            <color indexed="81"/>
            <rFont val="Tahoma"/>
            <family val="2"/>
            <charset val="238"/>
          </rPr>
          <t xml:space="preserve">
The primary task is to ensure the continuous improvement of the user experience and the number of visitors.
With pessimistic online market-based estimation this number of daily visitors is certainly available by massive advertisements purchased from the investments.
</t>
        </r>
      </text>
    </comment>
    <comment ref="C5" authorId="0" shapeId="0">
      <text>
        <r>
          <rPr>
            <sz val="9"/>
            <color indexed="81"/>
            <rFont val="Tahoma"/>
            <family val="2"/>
            <charset val="238"/>
          </rPr>
          <t xml:space="preserve">The first two months are taking place about building basic business activities.
The first revenues are connected to the debuting of the </t>
        </r>
        <r>
          <rPr>
            <b/>
            <sz val="9"/>
            <color indexed="81"/>
            <rFont val="Tahoma"/>
            <family val="2"/>
            <charset val="238"/>
          </rPr>
          <t>Fan</t>
        </r>
        <r>
          <rPr>
            <sz val="9"/>
            <color indexed="81"/>
            <rFont val="Tahoma"/>
            <family val="2"/>
            <charset val="238"/>
          </rPr>
          <t>For</t>
        </r>
        <r>
          <rPr>
            <b/>
            <sz val="9"/>
            <color indexed="81"/>
            <rFont val="Tahoma"/>
            <family val="2"/>
            <charset val="238"/>
          </rPr>
          <t>Sport.com</t>
        </r>
      </text>
    </comment>
    <comment ref="D5" authorId="0" shapeId="0">
      <text>
        <r>
          <rPr>
            <sz val="9"/>
            <color indexed="81"/>
            <rFont val="Tahoma"/>
            <family val="2"/>
            <charset val="238"/>
          </rPr>
          <t xml:space="preserve">The first two months are taking place about building basic business activities.
The first revenues are connected to the debuting of the </t>
        </r>
        <r>
          <rPr>
            <b/>
            <sz val="9"/>
            <color indexed="81"/>
            <rFont val="Tahoma"/>
            <family val="2"/>
            <charset val="238"/>
          </rPr>
          <t>Fan</t>
        </r>
        <r>
          <rPr>
            <sz val="9"/>
            <color indexed="81"/>
            <rFont val="Tahoma"/>
            <family val="2"/>
            <charset val="238"/>
          </rPr>
          <t>For</t>
        </r>
        <r>
          <rPr>
            <b/>
            <sz val="9"/>
            <color indexed="81"/>
            <rFont val="Tahoma"/>
            <family val="2"/>
            <charset val="238"/>
          </rPr>
          <t>Sport.com</t>
        </r>
      </text>
    </comment>
    <comment ref="B6" authorId="0" shapeId="0">
      <text>
        <r>
          <rPr>
            <sz val="9"/>
            <color indexed="81"/>
            <rFont val="Tahoma"/>
            <family val="2"/>
            <charset val="238"/>
          </rPr>
          <t xml:space="preserve">Monthly number of visitors coming from the EU countries.
</t>
        </r>
        <r>
          <rPr>
            <b/>
            <sz val="9"/>
            <color indexed="81"/>
            <rFont val="Tahoma"/>
            <family val="2"/>
            <charset val="238"/>
          </rPr>
          <t>The goal is to cover the biggest rational area with Fan</t>
        </r>
        <r>
          <rPr>
            <sz val="9"/>
            <color indexed="81"/>
            <rFont val="Tahoma"/>
            <family val="2"/>
            <charset val="238"/>
          </rPr>
          <t>For</t>
        </r>
        <r>
          <rPr>
            <b/>
            <sz val="9"/>
            <color indexed="81"/>
            <rFont val="Tahoma"/>
            <family val="2"/>
            <charset val="238"/>
          </rPr>
          <t>Sport.com brand's ads</t>
        </r>
        <r>
          <rPr>
            <sz val="9"/>
            <color indexed="81"/>
            <rFont val="Tahoma"/>
            <family val="2"/>
            <charset val="238"/>
          </rPr>
          <t>, the priority is determined by the specific country / continent's favorite sport branches:
Eg.
EU: soccer, basketball, hockey, etc.
USA: baseball, basketball, etc.</t>
        </r>
      </text>
    </comment>
    <comment ref="C6" authorId="0" shapeId="0">
      <text>
        <r>
          <rPr>
            <sz val="9"/>
            <color indexed="81"/>
            <rFont val="Tahoma"/>
            <family val="2"/>
            <charset val="238"/>
          </rPr>
          <t xml:space="preserve">The first two months are taking place about building basic business activities.
The first revenues are connected to the debuting of the </t>
        </r>
        <r>
          <rPr>
            <b/>
            <sz val="9"/>
            <color indexed="81"/>
            <rFont val="Tahoma"/>
            <family val="2"/>
            <charset val="238"/>
          </rPr>
          <t>Fan</t>
        </r>
        <r>
          <rPr>
            <sz val="9"/>
            <color indexed="81"/>
            <rFont val="Tahoma"/>
            <family val="2"/>
            <charset val="238"/>
          </rPr>
          <t>For</t>
        </r>
        <r>
          <rPr>
            <b/>
            <sz val="9"/>
            <color indexed="81"/>
            <rFont val="Tahoma"/>
            <family val="2"/>
            <charset val="238"/>
          </rPr>
          <t>Sport.com</t>
        </r>
      </text>
    </comment>
    <comment ref="D6" authorId="0" shapeId="0">
      <text>
        <r>
          <rPr>
            <sz val="9"/>
            <color indexed="81"/>
            <rFont val="Tahoma"/>
            <family val="2"/>
            <charset val="238"/>
          </rPr>
          <t xml:space="preserve">The first two months are taking place about building basic business activities.
The first revenues are connected to the debuting of the </t>
        </r>
        <r>
          <rPr>
            <b/>
            <sz val="9"/>
            <color indexed="81"/>
            <rFont val="Tahoma"/>
            <family val="2"/>
            <charset val="238"/>
          </rPr>
          <t>Fan</t>
        </r>
        <r>
          <rPr>
            <sz val="9"/>
            <color indexed="81"/>
            <rFont val="Tahoma"/>
            <family val="2"/>
            <charset val="238"/>
          </rPr>
          <t>For</t>
        </r>
        <r>
          <rPr>
            <b/>
            <sz val="9"/>
            <color indexed="81"/>
            <rFont val="Tahoma"/>
            <family val="2"/>
            <charset val="238"/>
          </rPr>
          <t>Sport.com</t>
        </r>
      </text>
    </comment>
    <comment ref="B7" authorId="0" shapeId="0">
      <text>
        <r>
          <rPr>
            <sz val="9"/>
            <color indexed="81"/>
            <rFont val="Tahoma"/>
            <family val="2"/>
            <charset val="238"/>
          </rPr>
          <t>In terms of the market, the project behaves as if it were a webshop.
The international average for sales conversion rate in a webshop (from visitor to buyer %) is an ideal metric. 
Market.avg. 2.2 to 3.5%, pessimistic estimation.</t>
        </r>
      </text>
    </comment>
    <comment ref="C7" authorId="0" shapeId="0">
      <text>
        <r>
          <rPr>
            <sz val="9"/>
            <color indexed="81"/>
            <rFont val="Tahoma"/>
            <family val="2"/>
            <charset val="238"/>
          </rPr>
          <t xml:space="preserve">The first two months are taking place about building basic business activities.
The first revenues are connected to the debuting of the </t>
        </r>
        <r>
          <rPr>
            <b/>
            <sz val="9"/>
            <color indexed="81"/>
            <rFont val="Tahoma"/>
            <family val="2"/>
            <charset val="238"/>
          </rPr>
          <t>Fan</t>
        </r>
        <r>
          <rPr>
            <sz val="9"/>
            <color indexed="81"/>
            <rFont val="Tahoma"/>
            <family val="2"/>
            <charset val="238"/>
          </rPr>
          <t>For</t>
        </r>
        <r>
          <rPr>
            <b/>
            <sz val="9"/>
            <color indexed="81"/>
            <rFont val="Tahoma"/>
            <family val="2"/>
            <charset val="238"/>
          </rPr>
          <t>Sport.com</t>
        </r>
      </text>
    </comment>
    <comment ref="D7" authorId="0" shapeId="0">
      <text>
        <r>
          <rPr>
            <sz val="9"/>
            <color indexed="81"/>
            <rFont val="Tahoma"/>
            <family val="2"/>
            <charset val="238"/>
          </rPr>
          <t xml:space="preserve">The first two months are taking place about building basic business activities.
The first revenues are connected to the debuting of the </t>
        </r>
        <r>
          <rPr>
            <b/>
            <sz val="9"/>
            <color indexed="81"/>
            <rFont val="Tahoma"/>
            <family val="2"/>
            <charset val="238"/>
          </rPr>
          <t>Fan</t>
        </r>
        <r>
          <rPr>
            <sz val="9"/>
            <color indexed="81"/>
            <rFont val="Tahoma"/>
            <family val="2"/>
            <charset val="238"/>
          </rPr>
          <t>For</t>
        </r>
        <r>
          <rPr>
            <b/>
            <sz val="9"/>
            <color indexed="81"/>
            <rFont val="Tahoma"/>
            <family val="2"/>
            <charset val="238"/>
          </rPr>
          <t>Sport.com</t>
        </r>
      </text>
    </comment>
    <comment ref="B8" authorId="0" shapeId="0">
      <text>
        <r>
          <rPr>
            <sz val="9"/>
            <color indexed="81"/>
            <rFont val="Tahoma"/>
            <family val="2"/>
            <charset val="238"/>
          </rPr>
          <t>On the famous crowdfunding platform of Kickstarter.com in</t>
        </r>
        <r>
          <rPr>
            <b/>
            <sz val="9"/>
            <color indexed="81"/>
            <rFont val="Tahoma"/>
            <family val="2"/>
            <charset val="238"/>
          </rPr>
          <t xml:space="preserve"> 2014 a total of 3.3M people donated 500M USD</t>
        </r>
        <r>
          <rPr>
            <sz val="9"/>
            <color indexed="81"/>
            <rFont val="Tahoma"/>
            <family val="2"/>
            <charset val="238"/>
          </rPr>
          <t xml:space="preserve"> (1.000 USD / minute), bringing 22.000 creative project to light.</t>
        </r>
        <r>
          <rPr>
            <b/>
            <sz val="9"/>
            <color indexed="81"/>
            <rFont val="Tahoma"/>
            <family val="2"/>
            <charset val="238"/>
          </rPr>
          <t xml:space="preserve">
</t>
        </r>
      </text>
    </comment>
    <comment ref="C8" authorId="0" shapeId="0">
      <text>
        <r>
          <rPr>
            <sz val="9"/>
            <color indexed="81"/>
            <rFont val="Tahoma"/>
            <family val="2"/>
            <charset val="238"/>
          </rPr>
          <t xml:space="preserve">The first two months are taking place about building basic business activities.
The first revenues are connected to the debuting of the </t>
        </r>
        <r>
          <rPr>
            <b/>
            <sz val="9"/>
            <color indexed="81"/>
            <rFont val="Tahoma"/>
            <family val="2"/>
            <charset val="238"/>
          </rPr>
          <t>Fan</t>
        </r>
        <r>
          <rPr>
            <sz val="9"/>
            <color indexed="81"/>
            <rFont val="Tahoma"/>
            <family val="2"/>
            <charset val="238"/>
          </rPr>
          <t>For</t>
        </r>
        <r>
          <rPr>
            <b/>
            <sz val="9"/>
            <color indexed="81"/>
            <rFont val="Tahoma"/>
            <family val="2"/>
            <charset val="238"/>
          </rPr>
          <t>Sport.com</t>
        </r>
      </text>
    </comment>
    <comment ref="D8" authorId="0" shapeId="0">
      <text>
        <r>
          <rPr>
            <sz val="9"/>
            <color indexed="81"/>
            <rFont val="Tahoma"/>
            <family val="2"/>
            <charset val="238"/>
          </rPr>
          <t xml:space="preserve">The first two months are taking place about building basic business activities.
The first revenues are connected to the debuting of the </t>
        </r>
        <r>
          <rPr>
            <b/>
            <sz val="9"/>
            <color indexed="81"/>
            <rFont val="Tahoma"/>
            <family val="2"/>
            <charset val="238"/>
          </rPr>
          <t>Fan</t>
        </r>
        <r>
          <rPr>
            <sz val="9"/>
            <color indexed="81"/>
            <rFont val="Tahoma"/>
            <family val="2"/>
            <charset val="238"/>
          </rPr>
          <t>For</t>
        </r>
        <r>
          <rPr>
            <b/>
            <sz val="9"/>
            <color indexed="81"/>
            <rFont val="Tahoma"/>
            <family val="2"/>
            <charset val="238"/>
          </rPr>
          <t>Sport.com</t>
        </r>
      </text>
    </comment>
    <comment ref="S9" authorId="0" shapeId="0">
      <text>
        <r>
          <rPr>
            <sz val="9"/>
            <color indexed="81"/>
            <rFont val="Tahoma"/>
            <family val="2"/>
            <charset val="238"/>
          </rPr>
          <t>Továbbításra kerül a klubok felé.</t>
        </r>
      </text>
    </comment>
    <comment ref="E11" authorId="0" shapeId="0">
      <text>
        <r>
          <rPr>
            <sz val="9"/>
            <color indexed="81"/>
            <rFont val="Tahoma"/>
            <family val="2"/>
            <charset val="238"/>
          </rPr>
          <t>30 teams participation are expected at start, debuting is coordinated to a day with special campaign.</t>
        </r>
      </text>
    </comment>
    <comment ref="S11" authorId="0" shapeId="0">
      <text>
        <r>
          <rPr>
            <sz val="9"/>
            <color indexed="81"/>
            <rFont val="Tahoma"/>
            <family val="2"/>
            <charset val="238"/>
          </rPr>
          <t>Regisztrált csapatok várható száma összesen az első üzleti év végén.</t>
        </r>
      </text>
    </comment>
    <comment ref="B15" authorId="0" shapeId="0">
      <text>
        <r>
          <rPr>
            <b/>
            <sz val="9"/>
            <color indexed="81"/>
            <rFont val="Tahoma"/>
            <family val="2"/>
            <charset val="238"/>
          </rPr>
          <t>Avg.price 
100 EUR / team + 0,01 EUR / pageview</t>
        </r>
        <r>
          <rPr>
            <sz val="9"/>
            <color indexed="81"/>
            <rFont val="Tahoma"/>
            <family val="2"/>
            <charset val="238"/>
          </rPr>
          <t xml:space="preserve">
Well targeted, large number of active audience. Discounted advertising rates in the first year, assuming 1 pageview / day / visitor. Pessimistic estimate.
</t>
        </r>
        <r>
          <rPr>
            <b/>
            <sz val="9"/>
            <color indexed="81"/>
            <rFont val="Tahoma"/>
            <family val="2"/>
            <charset val="238"/>
          </rPr>
          <t>For comparison:</t>
        </r>
        <r>
          <rPr>
            <sz val="9"/>
            <color indexed="81"/>
            <rFont val="Tahoma"/>
            <family val="2"/>
            <charset val="238"/>
          </rPr>
          <t xml:space="preserve">
BBC.COM Digital Ratecard:
http://advertising.bbcworldwide.com/home/mediakit/digitalratecards/bbccomratecard
INDEX.HU Advertising Ratecard:
http://ajanlat.index.hu/arlista/CEMP_SH_rate_card_2015.pdf
</t>
        </r>
      </text>
    </comment>
    <comment ref="B16" authorId="0" shapeId="0">
      <text>
        <r>
          <rPr>
            <b/>
            <sz val="9"/>
            <color indexed="81"/>
            <rFont val="Tahoma"/>
            <family val="2"/>
            <charset val="238"/>
          </rPr>
          <t xml:space="preserve">0,5 EUR / CPC, CTR: 0,1% </t>
        </r>
        <r>
          <rPr>
            <sz val="9"/>
            <color indexed="81"/>
            <rFont val="Tahoma"/>
            <family val="2"/>
            <charset val="238"/>
          </rPr>
          <t xml:space="preserve">(market.avg. 0,4-1,2%), pessimistic estimate.
Well targeted, large number of active audience. Discounted advertising rates in the first year, assuming 1 pageview / day / visitor. 
</t>
        </r>
        <r>
          <rPr>
            <b/>
            <sz val="9"/>
            <color indexed="81"/>
            <rFont val="Tahoma"/>
            <family val="2"/>
            <charset val="238"/>
          </rPr>
          <t xml:space="preserve">
For comparison:</t>
        </r>
        <r>
          <rPr>
            <sz val="9"/>
            <color indexed="81"/>
            <rFont val="Tahoma"/>
            <family val="2"/>
            <charset val="238"/>
          </rPr>
          <t xml:space="preserve">
BBC.COM Digital Ratecard:
http://advertising.bbcworldwide.com/home/mediakit/digitalratecards/bbccomratecard
INDEX.HU Advertising Ratecard:
http://ajanlat.index.hu/arlista/CEMP_SH_rate_card_2015.pdf
</t>
        </r>
      </text>
    </comment>
    <comment ref="B17" authorId="0" shapeId="0">
      <text>
        <r>
          <rPr>
            <b/>
            <sz val="9"/>
            <color indexed="81"/>
            <rFont val="Tahoma"/>
            <family val="2"/>
            <charset val="238"/>
          </rPr>
          <t xml:space="preserve">Avg.price 
10 000 EUR / 100 000 view
</t>
        </r>
        <r>
          <rPr>
            <sz val="9"/>
            <color indexed="81"/>
            <rFont val="Tahoma"/>
            <family val="2"/>
            <charset val="238"/>
          </rPr>
          <t xml:space="preserve">
Well targeted, large number of active audience. Discounted advertising rates in the first year, assuming 1 pageview / day / visitor. </t>
        </r>
        <r>
          <rPr>
            <b/>
            <sz val="9"/>
            <color indexed="81"/>
            <rFont val="Tahoma"/>
            <family val="2"/>
            <charset val="238"/>
          </rPr>
          <t xml:space="preserve">
For comparison:
</t>
        </r>
        <r>
          <rPr>
            <sz val="9"/>
            <color indexed="81"/>
            <rFont val="Tahoma"/>
            <family val="2"/>
            <charset val="238"/>
          </rPr>
          <t xml:space="preserve">
BBC.COM Digital Ratecard:
http://advertising.bbcworldwide.com/home/mediakit/digitalratecards/bbccomratecard
INDEX.HU Advertising Ratecard:
http://ajanlat.index.hu/arlista/CEMP_SH_rate_card_2015.pdf
</t>
        </r>
      </text>
    </comment>
    <comment ref="B18" authorId="0" shapeId="0">
      <text>
        <r>
          <rPr>
            <sz val="9"/>
            <color indexed="81"/>
            <rFont val="Tahoma"/>
            <family val="2"/>
            <charset val="238"/>
          </rPr>
          <t xml:space="preserve">Newly registered teams are always the most motivated to mobilize their own fan base, this coupled with </t>
        </r>
        <r>
          <rPr>
            <b/>
            <sz val="9"/>
            <color indexed="81"/>
            <rFont val="Tahoma"/>
            <family val="2"/>
            <charset val="238"/>
          </rPr>
          <t>Fan</t>
        </r>
        <r>
          <rPr>
            <sz val="9"/>
            <color indexed="81"/>
            <rFont val="Tahoma"/>
            <family val="2"/>
            <charset val="238"/>
          </rPr>
          <t>For</t>
        </r>
        <r>
          <rPr>
            <b/>
            <sz val="9"/>
            <color indexed="81"/>
            <rFont val="Tahoma"/>
            <family val="2"/>
            <charset val="238"/>
          </rPr>
          <t>Sport.com</t>
        </r>
        <r>
          <rPr>
            <sz val="9"/>
            <color indexed="81"/>
            <rFont val="Tahoma"/>
            <family val="2"/>
            <charset val="238"/>
          </rPr>
          <t>'s premium features, it's cost will be deducted from the collected donations. 
Eg.: rankings on the main page, the creation of individual campaigns, advertise extra campaigns, etc.</t>
        </r>
      </text>
    </comment>
    <comment ref="B21" authorId="0" shapeId="0">
      <text>
        <r>
          <rPr>
            <sz val="9"/>
            <color indexed="81"/>
            <rFont val="Tahoma"/>
            <family val="2"/>
            <charset val="238"/>
          </rPr>
          <t>This amount creates stably sustainable business and rapid ad campaigns on international scale.</t>
        </r>
      </text>
    </comment>
    <comment ref="B22" authorId="0" shapeId="0">
      <text>
        <r>
          <rPr>
            <sz val="9"/>
            <color indexed="81"/>
            <rFont val="Tahoma"/>
            <family val="2"/>
            <charset val="238"/>
          </rPr>
          <t xml:space="preserve">With proper conditions, </t>
        </r>
        <r>
          <rPr>
            <b/>
            <sz val="9"/>
            <color indexed="81"/>
            <rFont val="Tahoma"/>
            <family val="2"/>
            <charset val="238"/>
          </rPr>
          <t>Fan</t>
        </r>
        <r>
          <rPr>
            <sz val="9"/>
            <color indexed="81"/>
            <rFont val="Tahoma"/>
            <family val="2"/>
            <charset val="238"/>
          </rPr>
          <t>For</t>
        </r>
        <r>
          <rPr>
            <b/>
            <sz val="9"/>
            <color indexed="81"/>
            <rFont val="Tahoma"/>
            <family val="2"/>
            <charset val="238"/>
          </rPr>
          <t xml:space="preserve">Sport.com's </t>
        </r>
        <r>
          <rPr>
            <sz val="9"/>
            <color indexed="81"/>
            <rFont val="Tahoma"/>
            <family val="2"/>
            <charset val="238"/>
          </rPr>
          <t xml:space="preserve">innovative approach can be further emphasized with the EU's </t>
        </r>
        <r>
          <rPr>
            <b/>
            <sz val="9"/>
            <color indexed="81"/>
            <rFont val="Tahoma"/>
            <family val="2"/>
            <charset val="238"/>
          </rPr>
          <t>Horizon 2020 tender opportunities.
Keywords:</t>
        </r>
        <r>
          <rPr>
            <sz val="9"/>
            <color indexed="81"/>
            <rFont val="Tahoma"/>
            <family val="2"/>
            <charset val="238"/>
          </rPr>
          <t xml:space="preserve">
bigdata research, predictive data collection, FET FET Proactive, competitive SMEs, international market access.</t>
        </r>
      </text>
    </comment>
    <comment ref="B23" authorId="0" shapeId="0">
      <text>
        <r>
          <rPr>
            <sz val="9"/>
            <color indexed="81"/>
            <rFont val="Tahoma"/>
            <family val="2"/>
            <charset val="238"/>
          </rPr>
          <t>The number of sales is calculated from the newly registered clubs.
From the enstablished network by FanForSport.com, an average 10% of our new partners will order softwares and websites.</t>
        </r>
      </text>
    </comment>
    <comment ref="B29" authorId="0" shapeId="0">
      <text>
        <r>
          <rPr>
            <sz val="9"/>
            <color indexed="81"/>
            <rFont val="Tahoma"/>
            <family val="2"/>
            <charset val="238"/>
          </rPr>
          <t>We are on international market: the legal, economic and local regulatory correspondences require continuous legal harmonization.</t>
        </r>
      </text>
    </comment>
    <comment ref="B30" authorId="0" shapeId="0">
      <text>
        <r>
          <rPr>
            <sz val="9"/>
            <color indexed="81"/>
            <rFont val="Tahoma"/>
            <family val="2"/>
            <charset val="238"/>
          </rPr>
          <t>There is a large number of donation transfers in the system.
Individual transfers are delayed until fulfillment of the specific campaign (average 45 days long) and the cost of the transfer charged to the referring party (the fans).
Our market leading international online payments partner may also count other bank charges.</t>
        </r>
      </text>
    </comment>
  </commentList>
</comments>
</file>

<file path=xl/sharedStrings.xml><?xml version="1.0" encoding="utf-8"?>
<sst xmlns="http://schemas.openxmlformats.org/spreadsheetml/2006/main" count="101" uniqueCount="83">
  <si>
    <t>ESOMAR (EU Soc. for Opinion and Marketing Research)</t>
  </si>
  <si>
    <t>USA, AU</t>
  </si>
  <si>
    <t>http://www.plunkettresearch.com/sports-recreation-leisure-market-research/industry-statistics</t>
  </si>
  <si>
    <t>135Mrd</t>
  </si>
  <si>
    <t>31,5Mrd</t>
  </si>
  <si>
    <t>470Mrd</t>
  </si>
  <si>
    <t>USD</t>
  </si>
  <si>
    <t>%</t>
  </si>
  <si>
    <t>ÖSSZESEN (EUR)</t>
  </si>
  <si>
    <t>n.a</t>
  </si>
  <si>
    <r>
      <rPr>
        <b/>
        <sz val="22"/>
        <color rgb="FFC00000"/>
        <rFont val="Calibri"/>
        <family val="2"/>
        <charset val="238"/>
        <scheme val="minor"/>
      </rPr>
      <t>Fan</t>
    </r>
    <r>
      <rPr>
        <sz val="22"/>
        <color rgb="FFC00000"/>
        <rFont val="Calibri"/>
        <family val="2"/>
        <charset val="238"/>
        <scheme val="minor"/>
      </rPr>
      <t>For</t>
    </r>
    <r>
      <rPr>
        <b/>
        <sz val="22"/>
        <color rgb="FFC00000"/>
        <rFont val="Calibri"/>
        <family val="2"/>
        <charset val="238"/>
        <scheme val="minor"/>
      </rPr>
      <t>Sport.com</t>
    </r>
  </si>
  <si>
    <t>ÖSSZESEN</t>
  </si>
  <si>
    <r>
      <rPr>
        <b/>
        <sz val="18"/>
        <color theme="0"/>
        <rFont val="Calibri"/>
        <family val="2"/>
        <charset val="238"/>
        <scheme val="minor"/>
      </rPr>
      <t xml:space="preserve">              FAN</t>
    </r>
    <r>
      <rPr>
        <sz val="18"/>
        <color theme="0"/>
        <rFont val="Calibri"/>
        <family val="2"/>
        <charset val="238"/>
        <scheme val="minor"/>
      </rPr>
      <t>FOR</t>
    </r>
    <r>
      <rPr>
        <b/>
        <sz val="18"/>
        <color theme="0"/>
        <rFont val="Calibri"/>
        <family val="2"/>
        <charset val="238"/>
        <scheme val="minor"/>
      </rPr>
      <t>SPORT.COM</t>
    </r>
    <r>
      <rPr>
        <sz val="18"/>
        <color theme="0"/>
        <rFont val="Calibri"/>
        <family val="2"/>
        <charset val="238"/>
        <scheme val="minor"/>
      </rPr>
      <t xml:space="preserve"> </t>
    </r>
    <r>
      <rPr>
        <sz val="14"/>
        <color theme="0"/>
        <rFont val="Calibri"/>
        <family val="2"/>
        <charset val="238"/>
        <scheme val="minor"/>
      </rPr>
      <t>- First Fiscal Year (2015.05 -2016.05) - Entry Plan Preliminary Plan</t>
    </r>
  </si>
  <si>
    <r>
      <t xml:space="preserve">                 </t>
    </r>
    <r>
      <rPr>
        <sz val="14"/>
        <color rgb="FF0070C0"/>
        <rFont val="Calibri"/>
        <family val="2"/>
        <charset val="238"/>
        <scheme val="minor"/>
      </rPr>
      <t xml:space="preserve"> </t>
    </r>
    <r>
      <rPr>
        <b/>
        <sz val="14"/>
        <color rgb="FF0070C0"/>
        <rFont val="Calibri"/>
        <family val="2"/>
        <charset val="238"/>
        <scheme val="minor"/>
      </rPr>
      <t xml:space="preserve">SPORTS FUNDING WEB2 REFORM  </t>
    </r>
    <r>
      <rPr>
        <sz val="14"/>
        <color rgb="FF0070C0"/>
        <rFont val="Calibri"/>
        <family val="2"/>
        <charset val="238"/>
        <scheme val="minor"/>
      </rPr>
      <t>= ONLINE COMMUNITY + CAPITAL + DOTCOM SOLUTION</t>
    </r>
  </si>
  <si>
    <t>POPULARITY BASED INCOMES</t>
  </si>
  <si>
    <t>INCOMES BASED ON IN-SITE ADVERTISEMENT AND PREMIUM FUNCTIONS</t>
  </si>
  <si>
    <t>TOTAL</t>
  </si>
  <si>
    <t>FURTHER RESOURCES</t>
  </si>
  <si>
    <t>TOTAL INCOMES:</t>
  </si>
  <si>
    <t>EXPENDITURES</t>
  </si>
  <si>
    <t>GENERAL OUTGOINGS</t>
  </si>
  <si>
    <t>INFORMATICS</t>
  </si>
  <si>
    <t>MANAGEMENT, EMPLOYEES</t>
  </si>
  <si>
    <t>INVESTMENTS</t>
  </si>
  <si>
    <t>MARKET PURCHASE, PR, MARKETING</t>
  </si>
  <si>
    <t>TOTAL EXPENDITURES:</t>
  </si>
  <si>
    <t>FINANCIAL BALANCE:</t>
  </si>
  <si>
    <t xml:space="preserve">The Team Sports Crowdfunding Media Surface </t>
  </si>
  <si>
    <t>Goal: To build the global market from the 3rd quarter:</t>
  </si>
  <si>
    <t>The population of EU (2014)</t>
  </si>
  <si>
    <t>EU Internet penetration</t>
  </si>
  <si>
    <t>Interested about team sports</t>
  </si>
  <si>
    <t>USA Internet penetration</t>
  </si>
  <si>
    <t>Sports events viewers ratio over the internet</t>
  </si>
  <si>
    <t>The population of USA (2014)</t>
  </si>
  <si>
    <t>Corporate advertising spendings on sports field</t>
  </si>
  <si>
    <t>Productivity of sports industry 2013 - EU (Plunkett Research)</t>
  </si>
  <si>
    <t>Productivity of sports industry 2013 - USA (Plunkett Research)</t>
  </si>
  <si>
    <t>The industry's annual growth (PricewaterhouseCoopers)</t>
  </si>
  <si>
    <r>
      <t xml:space="preserve">A </t>
    </r>
    <r>
      <rPr>
        <b/>
        <sz val="14"/>
        <color theme="1"/>
        <rFont val="Calibri"/>
        <family val="2"/>
        <charset val="238"/>
        <scheme val="minor"/>
      </rPr>
      <t>Fan</t>
    </r>
    <r>
      <rPr>
        <sz val="14"/>
        <color theme="1"/>
        <rFont val="Calibri"/>
        <family val="2"/>
        <charset val="238"/>
        <scheme val="minor"/>
      </rPr>
      <t>For</t>
    </r>
    <r>
      <rPr>
        <b/>
        <sz val="14"/>
        <color theme="1"/>
        <rFont val="Calibri"/>
        <family val="2"/>
        <charset val="238"/>
        <scheme val="minor"/>
      </rPr>
      <t>Sport.com</t>
    </r>
    <r>
      <rPr>
        <sz val="14"/>
        <color theme="1"/>
        <rFont val="Calibri"/>
        <family val="2"/>
        <charset val="238"/>
        <scheme val="minor"/>
      </rPr>
      <t xml:space="preserve"> (cover) expected audience</t>
    </r>
  </si>
  <si>
    <t>Male</t>
  </si>
  <si>
    <t>18-38 years old</t>
  </si>
  <si>
    <t>Graduate</t>
  </si>
  <si>
    <t>Metropolitan</t>
  </si>
  <si>
    <t>BC1-C2, under measurement</t>
  </si>
  <si>
    <t>person</t>
  </si>
  <si>
    <t>VISITORS / day (expected real user)</t>
  </si>
  <si>
    <t>VISITORS / month (from 30 countries, team sports fans)</t>
  </si>
  <si>
    <t>Visitor &gt; sponsors  (1%) (person)</t>
  </si>
  <si>
    <t>Avg. sum of donated funds (EUR)</t>
  </si>
  <si>
    <t>Monthly collected funds, forwarded to clubs (EUR)</t>
  </si>
  <si>
    <t>Commission from donations (%)</t>
  </si>
  <si>
    <t xml:space="preserve">Number of newly registered teams </t>
  </si>
  <si>
    <t>Registration revenue of teams (99 EUR / team)</t>
  </si>
  <si>
    <t>Site and column sponships (EUR)</t>
  </si>
  <si>
    <t>Text advertisement (EUR)</t>
  </si>
  <si>
    <t>Display advertisement (EUR)</t>
  </si>
  <si>
    <t>Premium functions of teams (donations avg. +2%) (EUR)</t>
  </si>
  <si>
    <t>Tender drawings (EUR)</t>
  </si>
  <si>
    <t>Ext. Software sales: club websites + sport software sales (piece)</t>
  </si>
  <si>
    <t>Sum of ext. software sales (~6000 EUR / piece)</t>
  </si>
  <si>
    <t>Legal costs (initial + avg 4%) (EUR)</t>
  </si>
  <si>
    <t>Banking charges (avg 2%)  (EUR)</t>
  </si>
  <si>
    <t>Taxes (EU, avg 17%) (EUR)</t>
  </si>
  <si>
    <t>Software license fees</t>
  </si>
  <si>
    <r>
      <t xml:space="preserve">Continuous development of </t>
    </r>
    <r>
      <rPr>
        <b/>
        <sz val="9"/>
        <rFont val="Calibri"/>
        <family val="2"/>
        <charset val="238"/>
        <scheme val="minor"/>
      </rPr>
      <t>Fan</t>
    </r>
    <r>
      <rPr>
        <sz val="9"/>
        <rFont val="Calibri"/>
        <family val="2"/>
        <charset val="238"/>
        <scheme val="minor"/>
      </rPr>
      <t>For</t>
    </r>
    <r>
      <rPr>
        <b/>
        <sz val="9"/>
        <rFont val="Calibri"/>
        <family val="2"/>
        <charset val="238"/>
        <scheme val="minor"/>
      </rPr>
      <t>Sport.com</t>
    </r>
    <r>
      <rPr>
        <sz val="9"/>
        <rFont val="Calibri"/>
        <family val="2"/>
        <charset val="238"/>
        <scheme val="minor"/>
      </rPr>
      <t xml:space="preserve"> 3% (EUR)</t>
    </r>
  </si>
  <si>
    <t>Development costs of ext. software sales (EUR)</t>
  </si>
  <si>
    <t>Backoffice IT software + IT improvements 2% (EUR)</t>
  </si>
  <si>
    <t>Server costs, bandwidth, data traffic cost</t>
  </si>
  <si>
    <t>IT professional fees, quality assurance</t>
  </si>
  <si>
    <t>Number of employees / subcontractors</t>
  </si>
  <si>
    <t>Avg. wage costs / employee (EUR)</t>
  </si>
  <si>
    <t>Monthly wage costs (EUR)</t>
  </si>
  <si>
    <t>Communication (EUR)</t>
  </si>
  <si>
    <t>Representation and travelling (EUR)</t>
  </si>
  <si>
    <t>Office and other administrative costs (EUR)</t>
  </si>
  <si>
    <t>Office and IT equipment (EUR)</t>
  </si>
  <si>
    <r>
      <rPr>
        <b/>
        <sz val="9"/>
        <rFont val="Calibri"/>
        <family val="2"/>
        <charset val="238"/>
        <scheme val="minor"/>
      </rPr>
      <t>Fan</t>
    </r>
    <r>
      <rPr>
        <sz val="9"/>
        <rFont val="Calibri"/>
        <family val="2"/>
        <charset val="238"/>
        <scheme val="minor"/>
      </rPr>
      <t>For</t>
    </r>
    <r>
      <rPr>
        <b/>
        <sz val="9"/>
        <rFont val="Calibri"/>
        <family val="2"/>
        <charset val="238"/>
        <scheme val="minor"/>
      </rPr>
      <t>Sport.com</t>
    </r>
    <r>
      <rPr>
        <sz val="9"/>
        <rFont val="Calibri"/>
        <family val="2"/>
        <charset val="238"/>
        <scheme val="minor"/>
      </rPr>
      <t xml:space="preserve"> online advertisement costs (2% of income) (EUR)</t>
    </r>
  </si>
  <si>
    <t>Traditional ad surfaces (3% of income, press, tv) (EUR)</t>
  </si>
  <si>
    <t>Market building, campaign, roadshow (EUR)</t>
  </si>
  <si>
    <t>Investor Exit (200%, EUR)</t>
  </si>
  <si>
    <t>Pre-Seed, seed from investment (EUR)</t>
  </si>
  <si>
    <t xml:space="preserve">REVENUES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</si>
</sst>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 [$EUR]"/>
  </numFmts>
  <fonts count="40" x14ac:knownFonts="1">
    <font>
      <sz val="11"/>
      <color theme="1"/>
      <name val="Calibri"/>
      <family val="2"/>
      <charset val="238"/>
      <scheme val="minor"/>
    </font>
    <font>
      <b/>
      <sz val="11"/>
      <color theme="0"/>
      <name val="Calibri"/>
      <family val="2"/>
      <charset val="238"/>
      <scheme val="minor"/>
    </font>
    <font>
      <sz val="11"/>
      <color theme="0"/>
      <name val="Calibri"/>
      <family val="2"/>
      <charset val="238"/>
      <scheme val="minor"/>
    </font>
    <font>
      <sz val="9"/>
      <color theme="1"/>
      <name val="Calibri"/>
      <family val="2"/>
      <charset val="238"/>
      <scheme val="minor"/>
    </font>
    <font>
      <sz val="9"/>
      <color theme="0"/>
      <name val="Calibri"/>
      <family val="2"/>
      <charset val="238"/>
      <scheme val="minor"/>
    </font>
    <font>
      <sz val="9"/>
      <name val="Calibri"/>
      <family val="2"/>
      <charset val="238"/>
      <scheme val="minor"/>
    </font>
    <font>
      <b/>
      <sz val="12"/>
      <color rgb="FFFFFF00"/>
      <name val="Calibri"/>
      <family val="2"/>
      <charset val="238"/>
      <scheme val="minor"/>
    </font>
    <font>
      <b/>
      <sz val="9"/>
      <color theme="0"/>
      <name val="Calibri"/>
      <family val="2"/>
      <charset val="238"/>
      <scheme val="minor"/>
    </font>
    <font>
      <b/>
      <sz val="9"/>
      <color theme="1"/>
      <name val="Calibri"/>
      <family val="2"/>
      <charset val="238"/>
      <scheme val="minor"/>
    </font>
    <font>
      <b/>
      <sz val="9"/>
      <name val="Calibri"/>
      <family val="2"/>
      <charset val="238"/>
      <scheme val="minor"/>
    </font>
    <font>
      <b/>
      <sz val="12"/>
      <color rgb="FF00B050"/>
      <name val="Calibri"/>
      <family val="2"/>
      <charset val="238"/>
      <scheme val="minor"/>
    </font>
    <font>
      <sz val="12"/>
      <color theme="1"/>
      <name val="Calibri"/>
      <family val="2"/>
      <charset val="238"/>
      <scheme val="minor"/>
    </font>
    <font>
      <sz val="14"/>
      <color theme="1"/>
      <name val="Calibri"/>
      <family val="2"/>
      <charset val="238"/>
      <scheme val="minor"/>
    </font>
    <font>
      <b/>
      <sz val="14"/>
      <color theme="1"/>
      <name val="Calibri"/>
      <family val="2"/>
      <charset val="238"/>
      <scheme val="minor"/>
    </font>
    <font>
      <b/>
      <sz val="12"/>
      <color theme="0"/>
      <name val="Calibri"/>
      <family val="2"/>
      <charset val="238"/>
      <scheme val="minor"/>
    </font>
    <font>
      <b/>
      <sz val="10"/>
      <color theme="0"/>
      <name val="Calibri"/>
      <family val="2"/>
      <charset val="238"/>
      <scheme val="minor"/>
    </font>
    <font>
      <b/>
      <sz val="12"/>
      <color theme="1"/>
      <name val="Calibri"/>
      <family val="2"/>
      <charset val="238"/>
      <scheme val="minor"/>
    </font>
    <font>
      <b/>
      <sz val="16"/>
      <color theme="0"/>
      <name val="Calibri"/>
      <family val="2"/>
      <charset val="238"/>
      <scheme val="minor"/>
    </font>
    <font>
      <b/>
      <sz val="9"/>
      <color rgb="FFFFFF00"/>
      <name val="Calibri"/>
      <family val="2"/>
      <charset val="238"/>
      <scheme val="minor"/>
    </font>
    <font>
      <b/>
      <sz val="16"/>
      <color rgb="FFFFFF00"/>
      <name val="Calibri"/>
      <family val="2"/>
      <charset val="238"/>
      <scheme val="minor"/>
    </font>
    <font>
      <sz val="12"/>
      <color rgb="FF00B050"/>
      <name val="Calibri"/>
      <family val="2"/>
      <charset val="238"/>
      <scheme val="minor"/>
    </font>
    <font>
      <u/>
      <sz val="11"/>
      <color theme="10"/>
      <name val="Calibri"/>
      <family val="2"/>
      <charset val="238"/>
      <scheme val="minor"/>
    </font>
    <font>
      <sz val="18"/>
      <color theme="0"/>
      <name val="Calibri"/>
      <family val="2"/>
      <charset val="238"/>
      <scheme val="minor"/>
    </font>
    <font>
      <b/>
      <sz val="16"/>
      <color theme="1"/>
      <name val="Calibri"/>
      <family val="2"/>
      <charset val="238"/>
      <scheme val="minor"/>
    </font>
    <font>
      <sz val="9"/>
      <color theme="0" tint="-0.499984740745262"/>
      <name val="Calibri"/>
      <family val="2"/>
      <charset val="238"/>
      <scheme val="minor"/>
    </font>
    <font>
      <b/>
      <sz val="18"/>
      <color theme="0"/>
      <name val="Calibri"/>
      <family val="2"/>
      <charset val="238"/>
      <scheme val="minor"/>
    </font>
    <font>
      <b/>
      <sz val="14"/>
      <color rgb="FF0070C0"/>
      <name val="Calibri"/>
      <family val="2"/>
      <charset val="238"/>
      <scheme val="minor"/>
    </font>
    <font>
      <b/>
      <sz val="9"/>
      <color theme="8" tint="-0.249977111117893"/>
      <name val="Calibri"/>
      <family val="2"/>
      <charset val="238"/>
      <scheme val="minor"/>
    </font>
    <font>
      <sz val="9"/>
      <color theme="8" tint="-0.249977111117893"/>
      <name val="Calibri"/>
      <family val="2"/>
      <charset val="238"/>
      <scheme val="minor"/>
    </font>
    <font>
      <sz val="14"/>
      <color rgb="FF0070C0"/>
      <name val="Calibri"/>
      <family val="2"/>
      <charset val="238"/>
      <scheme val="minor"/>
    </font>
    <font>
      <sz val="14"/>
      <color theme="0"/>
      <name val="Calibri"/>
      <family val="2"/>
      <charset val="238"/>
      <scheme val="minor"/>
    </font>
    <font>
      <sz val="9"/>
      <color indexed="81"/>
      <name val="Tahoma"/>
      <family val="2"/>
      <charset val="238"/>
    </font>
    <font>
      <b/>
      <sz val="9"/>
      <color indexed="81"/>
      <name val="Tahoma"/>
      <family val="2"/>
      <charset val="238"/>
    </font>
    <font>
      <sz val="22"/>
      <color rgb="FFC00000"/>
      <name val="Calibri"/>
      <family val="2"/>
      <charset val="238"/>
      <scheme val="minor"/>
    </font>
    <font>
      <b/>
      <sz val="22"/>
      <color rgb="FFC00000"/>
      <name val="Calibri"/>
      <family val="2"/>
      <charset val="238"/>
      <scheme val="minor"/>
    </font>
    <font>
      <b/>
      <sz val="11"/>
      <color rgb="FFC00000"/>
      <name val="Calibri"/>
      <family val="2"/>
      <charset val="238"/>
      <scheme val="minor"/>
    </font>
    <font>
      <sz val="9"/>
      <color theme="8"/>
      <name val="Calibri"/>
      <family val="2"/>
      <charset val="238"/>
      <scheme val="minor"/>
    </font>
    <font>
      <b/>
      <sz val="11"/>
      <color theme="8"/>
      <name val="Calibri"/>
      <family val="2"/>
      <charset val="238"/>
      <scheme val="minor"/>
    </font>
    <font>
      <b/>
      <sz val="12"/>
      <color theme="8"/>
      <name val="Calibri"/>
      <family val="2"/>
      <charset val="238"/>
      <scheme val="minor"/>
    </font>
    <font>
      <i/>
      <sz val="9"/>
      <color theme="0"/>
      <name val="Calibri"/>
      <family val="2"/>
      <charset val="238"/>
      <scheme val="minor"/>
    </font>
  </fonts>
  <fills count="9">
    <fill>
      <patternFill patternType="none"/>
    </fill>
    <fill>
      <patternFill patternType="gray125"/>
    </fill>
    <fill>
      <patternFill patternType="solid">
        <fgColor rgb="FF00B050"/>
        <bgColor indexed="64"/>
      </patternFill>
    </fill>
    <fill>
      <patternFill patternType="solid">
        <fgColor rgb="FF0070C0"/>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6" tint="-0.499984740745262"/>
        <bgColor indexed="64"/>
      </patternFill>
    </fill>
    <fill>
      <patternFill patternType="solid">
        <fgColor theme="8" tint="0.59999389629810485"/>
        <bgColor indexed="64"/>
      </patternFill>
    </fill>
    <fill>
      <patternFill patternType="solid">
        <fgColor rgb="FFC00000"/>
        <bgColor indexed="64"/>
      </patternFill>
    </fill>
  </fills>
  <borders count="31">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s>
  <cellStyleXfs count="2">
    <xf numFmtId="0" fontId="0" fillId="0" borderId="0"/>
    <xf numFmtId="0" fontId="21" fillId="0" borderId="0" applyNumberFormat="0" applyFill="0" applyBorder="0" applyAlignment="0" applyProtection="0"/>
  </cellStyleXfs>
  <cellXfs count="107">
    <xf numFmtId="0" fontId="0" fillId="0" borderId="0" xfId="0"/>
    <xf numFmtId="0" fontId="3" fillId="0" borderId="0" xfId="0" applyFont="1"/>
    <xf numFmtId="0" fontId="2" fillId="0" borderId="0" xfId="0" applyFont="1" applyFill="1" applyAlignment="1">
      <alignment horizontal="right"/>
    </xf>
    <xf numFmtId="0" fontId="2" fillId="2" borderId="10" xfId="0" applyFont="1" applyFill="1" applyBorder="1" applyAlignment="1">
      <alignment horizontal="right"/>
    </xf>
    <xf numFmtId="3" fontId="4" fillId="2" borderId="10" xfId="0" applyNumberFormat="1" applyFont="1" applyFill="1" applyBorder="1" applyAlignment="1">
      <alignment horizontal="right"/>
    </xf>
    <xf numFmtId="0" fontId="3" fillId="0" borderId="9" xfId="0" applyFont="1" applyBorder="1"/>
    <xf numFmtId="0" fontId="4" fillId="2" borderId="10" xfId="0" applyFont="1" applyFill="1" applyBorder="1" applyAlignment="1">
      <alignment horizontal="right"/>
    </xf>
    <xf numFmtId="3" fontId="3" fillId="0" borderId="9" xfId="0" applyNumberFormat="1" applyFont="1" applyBorder="1"/>
    <xf numFmtId="3" fontId="3" fillId="0" borderId="9" xfId="0" applyNumberFormat="1" applyFont="1" applyBorder="1" applyAlignment="1"/>
    <xf numFmtId="3" fontId="7" fillId="2" borderId="10" xfId="0" applyNumberFormat="1" applyFont="1" applyFill="1" applyBorder="1" applyAlignment="1">
      <alignment horizontal="right"/>
    </xf>
    <xf numFmtId="0" fontId="5" fillId="0" borderId="9" xfId="0" applyFont="1" applyFill="1" applyBorder="1"/>
    <xf numFmtId="3" fontId="7" fillId="2" borderId="10" xfId="0" applyNumberFormat="1" applyFont="1" applyFill="1" applyBorder="1"/>
    <xf numFmtId="0" fontId="5" fillId="0" borderId="11" xfId="0" applyFont="1" applyFill="1" applyBorder="1"/>
    <xf numFmtId="3" fontId="8" fillId="2" borderId="10" xfId="0" applyNumberFormat="1" applyFont="1" applyFill="1" applyBorder="1"/>
    <xf numFmtId="0" fontId="9" fillId="0" borderId="9" xfId="0" applyFont="1" applyFill="1" applyBorder="1"/>
    <xf numFmtId="14" fontId="4" fillId="2" borderId="7" xfId="0" applyNumberFormat="1" applyFont="1" applyFill="1" applyBorder="1" applyAlignment="1">
      <alignment vertical="center"/>
    </xf>
    <xf numFmtId="0" fontId="16" fillId="0" borderId="0" xfId="0" applyFont="1" applyAlignment="1">
      <alignment vertical="center"/>
    </xf>
    <xf numFmtId="0" fontId="0" fillId="0" borderId="0" xfId="0" applyAlignment="1">
      <alignment vertical="center"/>
    </xf>
    <xf numFmtId="3" fontId="18" fillId="3" borderId="17" xfId="0" applyNumberFormat="1" applyFont="1" applyFill="1" applyBorder="1" applyAlignment="1">
      <alignment vertical="center"/>
    </xf>
    <xf numFmtId="0" fontId="19" fillId="3" borderId="16" xfId="0" applyFont="1" applyFill="1" applyBorder="1" applyAlignment="1">
      <alignment vertical="center"/>
    </xf>
    <xf numFmtId="0" fontId="0" fillId="0" borderId="0" xfId="0" applyAlignment="1">
      <alignment horizontal="right"/>
    </xf>
    <xf numFmtId="3" fontId="11" fillId="0" borderId="0" xfId="0" applyNumberFormat="1" applyFont="1" applyFill="1" applyBorder="1"/>
    <xf numFmtId="0" fontId="20" fillId="0" borderId="0" xfId="0" applyFont="1" applyAlignment="1">
      <alignment horizontal="right"/>
    </xf>
    <xf numFmtId="0" fontId="21" fillId="0" borderId="0" xfId="1"/>
    <xf numFmtId="0" fontId="15" fillId="2" borderId="8" xfId="0" applyFont="1" applyFill="1" applyBorder="1" applyAlignment="1">
      <alignment horizontal="center" vertical="center"/>
    </xf>
    <xf numFmtId="166" fontId="6" fillId="3" borderId="18" xfId="0" applyNumberFormat="1" applyFont="1" applyFill="1" applyBorder="1" applyAlignment="1">
      <alignment vertical="center"/>
    </xf>
    <xf numFmtId="14" fontId="0" fillId="6" borderId="2" xfId="0" applyNumberFormat="1" applyFill="1" applyBorder="1"/>
    <xf numFmtId="3" fontId="3" fillId="0" borderId="20" xfId="0" applyNumberFormat="1" applyFont="1" applyBorder="1"/>
    <xf numFmtId="3" fontId="3" fillId="0" borderId="20" xfId="0" applyNumberFormat="1" applyFont="1" applyFill="1" applyBorder="1"/>
    <xf numFmtId="0" fontId="3" fillId="0" borderId="20" xfId="0" applyFont="1" applyFill="1" applyBorder="1"/>
    <xf numFmtId="3" fontId="3" fillId="0" borderId="19" xfId="0" applyNumberFormat="1" applyFont="1" applyBorder="1"/>
    <xf numFmtId="3" fontId="3" fillId="0" borderId="19" xfId="0" applyNumberFormat="1" applyFont="1" applyFill="1" applyBorder="1"/>
    <xf numFmtId="0" fontId="3" fillId="0" borderId="19" xfId="0" applyFont="1" applyFill="1" applyBorder="1"/>
    <xf numFmtId="0" fontId="3" fillId="0" borderId="19" xfId="0" applyFont="1" applyBorder="1"/>
    <xf numFmtId="3" fontId="3" fillId="0" borderId="19" xfId="0" applyNumberFormat="1" applyFont="1" applyBorder="1" applyAlignment="1"/>
    <xf numFmtId="0" fontId="24" fillId="0" borderId="19" xfId="0" applyFont="1" applyBorder="1" applyAlignment="1">
      <alignment horizontal="center"/>
    </xf>
    <xf numFmtId="0" fontId="25" fillId="2" borderId="6" xfId="0" applyFont="1" applyFill="1" applyBorder="1" applyAlignment="1">
      <alignment vertical="center"/>
    </xf>
    <xf numFmtId="0" fontId="10" fillId="6" borderId="0" xfId="0" applyFont="1" applyFill="1" applyBorder="1"/>
    <xf numFmtId="14" fontId="0" fillId="6" borderId="0" xfId="0" applyNumberFormat="1" applyFill="1" applyBorder="1"/>
    <xf numFmtId="0" fontId="3" fillId="0" borderId="20" xfId="0" applyFont="1" applyBorder="1"/>
    <xf numFmtId="3" fontId="27" fillId="7" borderId="23" xfId="0" applyNumberFormat="1" applyFont="1" applyFill="1" applyBorder="1"/>
    <xf numFmtId="3" fontId="27" fillId="7" borderId="24" xfId="0" applyNumberFormat="1" applyFont="1" applyFill="1" applyBorder="1"/>
    <xf numFmtId="0" fontId="27" fillId="7" borderId="19" xfId="0" applyFont="1" applyFill="1" applyBorder="1" applyAlignment="1">
      <alignment horizontal="center"/>
    </xf>
    <xf numFmtId="3" fontId="27" fillId="7" borderId="20" xfId="0" applyNumberFormat="1" applyFont="1" applyFill="1" applyBorder="1"/>
    <xf numFmtId="3" fontId="27" fillId="7" borderId="19" xfId="0" applyNumberFormat="1" applyFont="1" applyFill="1" applyBorder="1"/>
    <xf numFmtId="3" fontId="28" fillId="7" borderId="20" xfId="0" applyNumberFormat="1" applyFont="1" applyFill="1" applyBorder="1"/>
    <xf numFmtId="3" fontId="28" fillId="7" borderId="19" xfId="0" applyNumberFormat="1" applyFont="1" applyFill="1" applyBorder="1"/>
    <xf numFmtId="164" fontId="28" fillId="7" borderId="20" xfId="0" applyNumberFormat="1" applyFont="1" applyFill="1" applyBorder="1"/>
    <xf numFmtId="164" fontId="28" fillId="7" borderId="19" xfId="0" applyNumberFormat="1" applyFont="1" applyFill="1" applyBorder="1"/>
    <xf numFmtId="165" fontId="28" fillId="7" borderId="19" xfId="0" applyNumberFormat="1" applyFont="1" applyFill="1" applyBorder="1"/>
    <xf numFmtId="0" fontId="28" fillId="7" borderId="19" xfId="0" applyFont="1" applyFill="1" applyBorder="1"/>
    <xf numFmtId="0" fontId="14" fillId="6" borderId="9" xfId="0" applyFont="1" applyFill="1" applyBorder="1"/>
    <xf numFmtId="0" fontId="27" fillId="7" borderId="15" xfId="0" applyFont="1" applyFill="1" applyBorder="1"/>
    <xf numFmtId="0" fontId="27" fillId="7" borderId="9" xfId="0" applyFont="1" applyFill="1" applyBorder="1"/>
    <xf numFmtId="0" fontId="28" fillId="7" borderId="9" xfId="0" applyFont="1" applyFill="1" applyBorder="1"/>
    <xf numFmtId="3" fontId="1" fillId="2" borderId="10" xfId="0" applyNumberFormat="1" applyFont="1" applyFill="1" applyBorder="1" applyAlignment="1">
      <alignment horizontal="right"/>
    </xf>
    <xf numFmtId="166" fontId="6" fillId="2" borderId="14" xfId="0" applyNumberFormat="1" applyFont="1" applyFill="1" applyBorder="1" applyAlignment="1">
      <alignment horizontal="right" vertical="center"/>
    </xf>
    <xf numFmtId="3" fontId="17" fillId="2" borderId="12" xfId="0" applyNumberFormat="1" applyFont="1" applyFill="1" applyBorder="1" applyAlignment="1">
      <alignment vertical="center"/>
    </xf>
    <xf numFmtId="0" fontId="5" fillId="0" borderId="22" xfId="0" applyFont="1" applyFill="1" applyBorder="1"/>
    <xf numFmtId="3" fontId="3" fillId="0" borderId="22" xfId="0" applyNumberFormat="1" applyFont="1" applyBorder="1"/>
    <xf numFmtId="0" fontId="27" fillId="7" borderId="19" xfId="0" applyFont="1" applyFill="1" applyBorder="1"/>
    <xf numFmtId="3" fontId="8" fillId="0" borderId="19" xfId="0" applyNumberFormat="1" applyFont="1" applyBorder="1"/>
    <xf numFmtId="3" fontId="8" fillId="0" borderId="19" xfId="0" applyNumberFormat="1" applyFont="1" applyFill="1" applyBorder="1"/>
    <xf numFmtId="0" fontId="5" fillId="0" borderId="19" xfId="0" applyFont="1" applyFill="1" applyBorder="1"/>
    <xf numFmtId="14" fontId="4" fillId="2" borderId="26" xfId="0" applyNumberFormat="1" applyFont="1" applyFill="1" applyBorder="1" applyAlignment="1">
      <alignment vertical="center"/>
    </xf>
    <xf numFmtId="14" fontId="0" fillId="6" borderId="5" xfId="0" applyNumberFormat="1" applyFill="1" applyBorder="1"/>
    <xf numFmtId="14" fontId="0" fillId="2" borderId="27" xfId="0" applyNumberFormat="1" applyFill="1" applyBorder="1"/>
    <xf numFmtId="3" fontId="1" fillId="2" borderId="28" xfId="0" applyNumberFormat="1" applyFont="1" applyFill="1" applyBorder="1" applyAlignment="1">
      <alignment vertical="center"/>
    </xf>
    <xf numFmtId="166" fontId="6" fillId="2" borderId="29" xfId="0" applyNumberFormat="1" applyFont="1" applyFill="1" applyBorder="1" applyAlignment="1">
      <alignment horizontal="right" vertical="center"/>
    </xf>
    <xf numFmtId="14" fontId="0" fillId="2" borderId="25" xfId="0" applyNumberFormat="1" applyFill="1" applyBorder="1"/>
    <xf numFmtId="0" fontId="2" fillId="8" borderId="0" xfId="0" applyFont="1" applyFill="1"/>
    <xf numFmtId="0" fontId="10" fillId="6" borderId="2" xfId="0" applyFont="1" applyFill="1" applyBorder="1"/>
    <xf numFmtId="0" fontId="23" fillId="0" borderId="0" xfId="0" applyFont="1"/>
    <xf numFmtId="0" fontId="35" fillId="0" borderId="0" xfId="0" applyFont="1"/>
    <xf numFmtId="0" fontId="16" fillId="0" borderId="23" xfId="0" applyFont="1" applyBorder="1"/>
    <xf numFmtId="3" fontId="11" fillId="0" borderId="1" xfId="0" applyNumberFormat="1" applyFont="1" applyFill="1" applyBorder="1"/>
    <xf numFmtId="0" fontId="3" fillId="0" borderId="2" xfId="0" applyFont="1" applyBorder="1"/>
    <xf numFmtId="165" fontId="3" fillId="0" borderId="0" xfId="0" applyNumberFormat="1" applyFont="1" applyBorder="1" applyAlignment="1">
      <alignment horizontal="right"/>
    </xf>
    <xf numFmtId="0" fontId="3" fillId="0" borderId="3" xfId="0" applyFont="1" applyBorder="1"/>
    <xf numFmtId="0" fontId="3" fillId="0" borderId="0" xfId="0" applyFont="1" applyBorder="1" applyAlignment="1">
      <alignment horizontal="right"/>
    </xf>
    <xf numFmtId="0" fontId="16" fillId="0" borderId="20" xfId="0" applyFont="1" applyBorder="1"/>
    <xf numFmtId="0" fontId="8" fillId="0" borderId="20" xfId="0" applyFont="1" applyBorder="1"/>
    <xf numFmtId="0" fontId="4" fillId="8" borderId="21" xfId="0" applyFont="1" applyFill="1" applyBorder="1"/>
    <xf numFmtId="9" fontId="4" fillId="8" borderId="4" xfId="0" applyNumberFormat="1" applyFont="1" applyFill="1" applyBorder="1" applyAlignment="1">
      <alignment horizontal="right"/>
    </xf>
    <xf numFmtId="0" fontId="3" fillId="8" borderId="5" xfId="0" applyFont="1" applyFill="1" applyBorder="1"/>
    <xf numFmtId="0" fontId="0" fillId="4" borderId="20" xfId="0" applyFill="1" applyBorder="1"/>
    <xf numFmtId="0" fontId="0" fillId="4" borderId="21" xfId="0" applyFill="1" applyBorder="1" applyAlignment="1"/>
    <xf numFmtId="3" fontId="0" fillId="0" borderId="0" xfId="0" applyNumberFormat="1"/>
    <xf numFmtId="14" fontId="0" fillId="6" borderId="3" xfId="0" applyNumberFormat="1" applyFill="1" applyBorder="1"/>
    <xf numFmtId="0" fontId="10" fillId="0" borderId="0" xfId="0" applyFont="1" applyAlignment="1">
      <alignment horizontal="right" vertical="center"/>
    </xf>
    <xf numFmtId="0" fontId="36" fillId="0" borderId="22" xfId="0" applyFont="1" applyBorder="1" applyAlignment="1">
      <alignment horizontal="center"/>
    </xf>
    <xf numFmtId="3" fontId="37" fillId="0" borderId="22" xfId="0" applyNumberFormat="1" applyFont="1" applyFill="1" applyBorder="1" applyAlignment="1">
      <alignment vertical="center"/>
    </xf>
    <xf numFmtId="0" fontId="38" fillId="0" borderId="11" xfId="0" applyFont="1" applyFill="1" applyBorder="1" applyAlignment="1">
      <alignment vertical="center"/>
    </xf>
    <xf numFmtId="0" fontId="37" fillId="0" borderId="22" xfId="0" applyFont="1" applyFill="1" applyBorder="1" applyAlignment="1">
      <alignment vertical="center"/>
    </xf>
    <xf numFmtId="14" fontId="0" fillId="2" borderId="10" xfId="0" applyNumberFormat="1" applyFill="1" applyBorder="1"/>
    <xf numFmtId="3" fontId="39" fillId="2" borderId="10" xfId="0" applyNumberFormat="1" applyFont="1" applyFill="1" applyBorder="1" applyAlignment="1">
      <alignment horizontal="right"/>
    </xf>
    <xf numFmtId="0" fontId="15" fillId="2" borderId="30" xfId="0" applyFont="1" applyFill="1" applyBorder="1" applyAlignment="1">
      <alignment horizontal="center" vertical="center"/>
    </xf>
    <xf numFmtId="0" fontId="10" fillId="0" borderId="0" xfId="0" applyFont="1" applyAlignment="1">
      <alignment shrinkToFit="1"/>
    </xf>
    <xf numFmtId="0" fontId="22" fillId="8" borderId="0" xfId="0" applyFont="1" applyFill="1" applyBorder="1" applyAlignment="1">
      <alignment horizontal="left" vertical="center" wrapText="1"/>
    </xf>
    <xf numFmtId="0" fontId="26" fillId="0" borderId="13" xfId="0" applyFont="1" applyBorder="1" applyAlignment="1">
      <alignment horizontal="left" vertical="center" wrapText="1"/>
    </xf>
    <xf numFmtId="9" fontId="0" fillId="4" borderId="3" xfId="0" applyNumberFormat="1" applyFill="1" applyBorder="1" applyAlignment="1">
      <alignment horizontal="left"/>
    </xf>
    <xf numFmtId="0" fontId="0" fillId="4" borderId="4" xfId="0" applyFill="1" applyBorder="1" applyAlignment="1">
      <alignment horizontal="left"/>
    </xf>
    <xf numFmtId="0" fontId="0" fillId="4" borderId="5" xfId="0" applyFill="1" applyBorder="1" applyAlignment="1">
      <alignment horizontal="left"/>
    </xf>
    <xf numFmtId="0" fontId="33" fillId="0" borderId="0" xfId="0" applyFont="1" applyAlignment="1">
      <alignment horizontal="left" vertical="center"/>
    </xf>
    <xf numFmtId="0" fontId="12" fillId="5" borderId="23" xfId="0" applyFont="1" applyFill="1" applyBorder="1" applyAlignment="1">
      <alignment horizontal="left"/>
    </xf>
    <xf numFmtId="0" fontId="12" fillId="5" borderId="1" xfId="0" applyFont="1" applyFill="1" applyBorder="1" applyAlignment="1">
      <alignment horizontal="left"/>
    </xf>
    <xf numFmtId="0" fontId="12" fillId="5" borderId="2" xfId="0" applyFont="1" applyFill="1" applyBorder="1" applyAlignment="1">
      <alignment horizontal="left"/>
    </xf>
  </cellXfs>
  <cellStyles count="2">
    <cellStyle name="Hivatkozás" xfId="1" builtinId="8"/>
    <cellStyle name="Normál" xfId="0" builtinId="0"/>
  </cellStyles>
  <dxfs count="0"/>
  <tableStyles count="0" defaultTableStyle="TableStyleMedium9" defaultPivotStyle="PivotStyleLight16"/>
  <colors>
    <mruColors>
      <color rgb="FFF7CDF4"/>
      <color rgb="FF007434"/>
      <color rgb="FFFFFB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11207</xdr:colOff>
      <xdr:row>1</xdr:row>
      <xdr:rowOff>67240</xdr:rowOff>
    </xdr:from>
    <xdr:to>
      <xdr:col>1</xdr:col>
      <xdr:colOff>683559</xdr:colOff>
      <xdr:row>1</xdr:row>
      <xdr:rowOff>663800</xdr:rowOff>
    </xdr:to>
    <xdr:pic>
      <xdr:nvPicPr>
        <xdr:cNvPr id="2" name="Kép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913" y="459446"/>
          <a:ext cx="672352" cy="5965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161925</xdr:colOff>
      <xdr:row>28</xdr:row>
      <xdr:rowOff>133350</xdr:rowOff>
    </xdr:from>
    <xdr:to>
      <xdr:col>14</xdr:col>
      <xdr:colOff>28400</xdr:colOff>
      <xdr:row>170</xdr:row>
      <xdr:rowOff>161925</xdr:rowOff>
    </xdr:to>
    <xdr:pic>
      <xdr:nvPicPr>
        <xdr:cNvPr id="2" name="Kép 1" descr="Digital Sports Fa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95975" y="6019800"/>
          <a:ext cx="5962475" cy="2707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161924</xdr:colOff>
      <xdr:row>0</xdr:row>
      <xdr:rowOff>9524</xdr:rowOff>
    </xdr:from>
    <xdr:to>
      <xdr:col>14</xdr:col>
      <xdr:colOff>57149</xdr:colOff>
      <xdr:row>27</xdr:row>
      <xdr:rowOff>190499</xdr:rowOff>
    </xdr:to>
    <xdr:pic>
      <xdr:nvPicPr>
        <xdr:cNvPr id="3" name="Kép 2" descr="http://www.xiquarterly.com/wp-content/uploads/2013/03/soccer-on-us-tv.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95974" y="9524"/>
          <a:ext cx="5991225" cy="5991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28575</xdr:colOff>
      <xdr:row>0</xdr:row>
      <xdr:rowOff>47626</xdr:rowOff>
    </xdr:from>
    <xdr:to>
      <xdr:col>3</xdr:col>
      <xdr:colOff>381000</xdr:colOff>
      <xdr:row>0</xdr:row>
      <xdr:rowOff>578925</xdr:rowOff>
    </xdr:to>
    <xdr:pic>
      <xdr:nvPicPr>
        <xdr:cNvPr id="5" name="Kép 4"/>
        <xdr:cNvPicPr>
          <a:picLocks noChangeAspect="1"/>
        </xdr:cNvPicPr>
      </xdr:nvPicPr>
      <xdr:blipFill>
        <a:blip xmlns:r="http://schemas.openxmlformats.org/officeDocument/2006/relationships" r:embed="rId3"/>
        <a:stretch>
          <a:fillRect/>
        </a:stretch>
      </xdr:blipFill>
      <xdr:spPr>
        <a:xfrm>
          <a:off x="4038600" y="47626"/>
          <a:ext cx="1714500" cy="531299"/>
        </a:xfrm>
        <a:prstGeom prst="rect">
          <a:avLst/>
        </a:prstGeom>
      </xdr:spPr>
    </xdr:pic>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plunkettresearch.com/sports-recreation-leisure-market-research/industry-statistic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58"/>
  <sheetViews>
    <sheetView tabSelected="1" zoomScaleNormal="100" workbookViewId="0">
      <selection activeCell="B2" sqref="B2:S2"/>
    </sheetView>
  </sheetViews>
  <sheetFormatPr defaultRowHeight="15" x14ac:dyDescent="0.25"/>
  <cols>
    <col min="1" max="1" width="3" customWidth="1"/>
    <col min="2" max="2" width="55.140625" customWidth="1"/>
    <col min="3" max="18" width="9.140625" customWidth="1"/>
    <col min="19" max="19" width="16.140625" customWidth="1"/>
  </cols>
  <sheetData>
    <row r="1" spans="1:19" ht="30.75" customHeight="1" x14ac:dyDescent="0.25">
      <c r="A1" s="70"/>
      <c r="B1" s="98" t="s">
        <v>12</v>
      </c>
      <c r="C1" s="98"/>
      <c r="D1" s="98"/>
      <c r="E1" s="98"/>
      <c r="F1" s="98"/>
      <c r="G1" s="98"/>
      <c r="H1" s="98"/>
      <c r="I1" s="98"/>
      <c r="J1" s="98"/>
      <c r="K1" s="98"/>
      <c r="L1" s="98"/>
      <c r="M1" s="98"/>
      <c r="N1" s="98"/>
      <c r="O1" s="98"/>
      <c r="P1" s="98"/>
      <c r="Q1" s="98"/>
      <c r="R1" s="98"/>
      <c r="S1" s="98"/>
    </row>
    <row r="2" spans="1:19" ht="57" customHeight="1" thickBot="1" x14ac:dyDescent="0.3">
      <c r="B2" s="99" t="s">
        <v>13</v>
      </c>
      <c r="C2" s="99"/>
      <c r="D2" s="99"/>
      <c r="E2" s="99"/>
      <c r="F2" s="99"/>
      <c r="G2" s="99"/>
      <c r="H2" s="99"/>
      <c r="I2" s="99"/>
      <c r="J2" s="99"/>
      <c r="K2" s="99"/>
      <c r="L2" s="99"/>
      <c r="M2" s="99"/>
      <c r="N2" s="99"/>
      <c r="O2" s="99"/>
      <c r="P2" s="99"/>
      <c r="Q2" s="99"/>
      <c r="R2" s="99"/>
      <c r="S2" s="99"/>
    </row>
    <row r="3" spans="1:19" ht="23.25" x14ac:dyDescent="0.25">
      <c r="A3" s="89"/>
      <c r="B3" s="36" t="s">
        <v>82</v>
      </c>
      <c r="C3" s="64">
        <v>42095</v>
      </c>
      <c r="D3" s="64">
        <v>42125</v>
      </c>
      <c r="E3" s="64">
        <v>42156</v>
      </c>
      <c r="F3" s="64">
        <v>42186</v>
      </c>
      <c r="G3" s="64">
        <v>42217</v>
      </c>
      <c r="H3" s="64">
        <v>42248</v>
      </c>
      <c r="I3" s="64">
        <v>42278</v>
      </c>
      <c r="J3" s="64">
        <v>42309</v>
      </c>
      <c r="K3" s="64">
        <v>42339</v>
      </c>
      <c r="L3" s="64">
        <v>42370</v>
      </c>
      <c r="M3" s="64">
        <v>42401</v>
      </c>
      <c r="N3" s="64">
        <v>42430</v>
      </c>
      <c r="O3" s="64">
        <v>42461</v>
      </c>
      <c r="P3" s="64">
        <v>42491</v>
      </c>
      <c r="Q3" s="64">
        <v>42522</v>
      </c>
      <c r="R3" s="64">
        <v>42552</v>
      </c>
      <c r="S3" s="24" t="s">
        <v>11</v>
      </c>
    </row>
    <row r="4" spans="1:19" ht="15.75" x14ac:dyDescent="0.25">
      <c r="B4" s="51" t="s">
        <v>14</v>
      </c>
      <c r="C4" s="37"/>
      <c r="D4" s="37"/>
      <c r="E4" s="38"/>
      <c r="F4" s="38"/>
      <c r="G4" s="38"/>
      <c r="H4" s="38"/>
      <c r="I4" s="38"/>
      <c r="J4" s="38"/>
      <c r="K4" s="38"/>
      <c r="L4" s="38"/>
      <c r="M4" s="38"/>
      <c r="N4" s="38"/>
      <c r="O4" s="38"/>
      <c r="P4" s="38"/>
      <c r="Q4" s="38"/>
      <c r="R4" s="65"/>
      <c r="S4" s="66"/>
    </row>
    <row r="5" spans="1:19" x14ac:dyDescent="0.25">
      <c r="B5" s="52" t="s">
        <v>46</v>
      </c>
      <c r="C5" s="42" t="s">
        <v>9</v>
      </c>
      <c r="D5" s="42" t="s">
        <v>9</v>
      </c>
      <c r="E5" s="40">
        <v>600</v>
      </c>
      <c r="F5" s="40">
        <v>3000</v>
      </c>
      <c r="G5" s="41">
        <v>7000</v>
      </c>
      <c r="H5" s="41">
        <v>14000</v>
      </c>
      <c r="I5" s="41">
        <v>20000</v>
      </c>
      <c r="J5" s="41">
        <v>35000</v>
      </c>
      <c r="K5" s="41">
        <v>50000</v>
      </c>
      <c r="L5" s="41">
        <v>70000</v>
      </c>
      <c r="M5" s="41">
        <v>100000</v>
      </c>
      <c r="N5" s="41">
        <v>130000</v>
      </c>
      <c r="O5" s="41">
        <v>170000</v>
      </c>
      <c r="P5" s="41">
        <v>220000</v>
      </c>
      <c r="Q5" s="41">
        <v>280000</v>
      </c>
      <c r="R5" s="41">
        <v>350000</v>
      </c>
      <c r="S5" s="3"/>
    </row>
    <row r="6" spans="1:19" x14ac:dyDescent="0.25">
      <c r="B6" s="53" t="s">
        <v>47</v>
      </c>
      <c r="C6" s="42" t="s">
        <v>9</v>
      </c>
      <c r="D6" s="42" t="s">
        <v>9</v>
      </c>
      <c r="E6" s="43">
        <f>E5*30</f>
        <v>18000</v>
      </c>
      <c r="F6" s="43">
        <f>F5*31</f>
        <v>93000</v>
      </c>
      <c r="G6" s="44">
        <f>G5*31</f>
        <v>217000</v>
      </c>
      <c r="H6" s="44">
        <f>H5*30</f>
        <v>420000</v>
      </c>
      <c r="I6" s="44">
        <f>I5*31</f>
        <v>620000</v>
      </c>
      <c r="J6" s="44">
        <f>J5*30</f>
        <v>1050000</v>
      </c>
      <c r="K6" s="44">
        <f>K5*31</f>
        <v>1550000</v>
      </c>
      <c r="L6" s="44">
        <f>L5*31</f>
        <v>2170000</v>
      </c>
      <c r="M6" s="44">
        <f>M5*28</f>
        <v>2800000</v>
      </c>
      <c r="N6" s="44">
        <f>N5*31</f>
        <v>4030000</v>
      </c>
      <c r="O6" s="44">
        <f>O5*30</f>
        <v>5100000</v>
      </c>
      <c r="P6" s="44">
        <f>P5*31</f>
        <v>6820000</v>
      </c>
      <c r="Q6" s="44">
        <f>Q5*30</f>
        <v>8400000</v>
      </c>
      <c r="R6" s="44">
        <f>R5*31</f>
        <v>10850000</v>
      </c>
      <c r="S6" s="4"/>
    </row>
    <row r="7" spans="1:19" s="1" customFormat="1" ht="12" x14ac:dyDescent="0.2">
      <c r="B7" s="54" t="s">
        <v>48</v>
      </c>
      <c r="C7" s="42" t="s">
        <v>9</v>
      </c>
      <c r="D7" s="42" t="s">
        <v>9</v>
      </c>
      <c r="E7" s="45">
        <f t="shared" ref="E7:R7" si="0">E6/100</f>
        <v>180</v>
      </c>
      <c r="F7" s="45">
        <f t="shared" si="0"/>
        <v>930</v>
      </c>
      <c r="G7" s="46">
        <f t="shared" si="0"/>
        <v>2170</v>
      </c>
      <c r="H7" s="46">
        <f t="shared" si="0"/>
        <v>4200</v>
      </c>
      <c r="I7" s="46">
        <f t="shared" si="0"/>
        <v>6200</v>
      </c>
      <c r="J7" s="46">
        <f t="shared" si="0"/>
        <v>10500</v>
      </c>
      <c r="K7" s="46">
        <f t="shared" si="0"/>
        <v>15500</v>
      </c>
      <c r="L7" s="46">
        <f t="shared" si="0"/>
        <v>21700</v>
      </c>
      <c r="M7" s="46">
        <f t="shared" si="0"/>
        <v>28000</v>
      </c>
      <c r="N7" s="46">
        <f t="shared" si="0"/>
        <v>40300</v>
      </c>
      <c r="O7" s="46">
        <f t="shared" si="0"/>
        <v>51000</v>
      </c>
      <c r="P7" s="46">
        <f t="shared" si="0"/>
        <v>68200</v>
      </c>
      <c r="Q7" s="46">
        <f t="shared" si="0"/>
        <v>84000</v>
      </c>
      <c r="R7" s="46">
        <f t="shared" si="0"/>
        <v>108500</v>
      </c>
      <c r="S7" s="4"/>
    </row>
    <row r="8" spans="1:19" s="1" customFormat="1" ht="12" x14ac:dyDescent="0.2">
      <c r="B8" s="54" t="s">
        <v>49</v>
      </c>
      <c r="C8" s="42" t="s">
        <v>9</v>
      </c>
      <c r="D8" s="42" t="s">
        <v>9</v>
      </c>
      <c r="E8" s="47">
        <v>5</v>
      </c>
      <c r="F8" s="47">
        <v>5</v>
      </c>
      <c r="G8" s="48">
        <v>5</v>
      </c>
      <c r="H8" s="49">
        <v>6</v>
      </c>
      <c r="I8" s="49">
        <v>6</v>
      </c>
      <c r="J8" s="49">
        <v>6</v>
      </c>
      <c r="K8" s="49">
        <v>8</v>
      </c>
      <c r="L8" s="50">
        <v>8.5</v>
      </c>
      <c r="M8" s="50">
        <v>8.5</v>
      </c>
      <c r="N8" s="49">
        <v>10</v>
      </c>
      <c r="O8" s="49">
        <v>8</v>
      </c>
      <c r="P8" s="49">
        <v>8</v>
      </c>
      <c r="Q8" s="49">
        <v>9</v>
      </c>
      <c r="R8" s="49">
        <v>10</v>
      </c>
      <c r="S8" s="6"/>
    </row>
    <row r="9" spans="1:19" s="1" customFormat="1" ht="12" x14ac:dyDescent="0.2">
      <c r="B9" s="5" t="s">
        <v>50</v>
      </c>
      <c r="C9" s="35"/>
      <c r="D9" s="35"/>
      <c r="E9" s="27">
        <f t="shared" ref="E9:R9" si="1">E7*E8</f>
        <v>900</v>
      </c>
      <c r="F9" s="27">
        <f t="shared" si="1"/>
        <v>4650</v>
      </c>
      <c r="G9" s="30">
        <f t="shared" si="1"/>
        <v>10850</v>
      </c>
      <c r="H9" s="30">
        <f t="shared" si="1"/>
        <v>25200</v>
      </c>
      <c r="I9" s="30">
        <f t="shared" si="1"/>
        <v>37200</v>
      </c>
      <c r="J9" s="30">
        <f t="shared" si="1"/>
        <v>63000</v>
      </c>
      <c r="K9" s="30">
        <f t="shared" si="1"/>
        <v>124000</v>
      </c>
      <c r="L9" s="30">
        <f t="shared" si="1"/>
        <v>184450</v>
      </c>
      <c r="M9" s="30">
        <f t="shared" si="1"/>
        <v>238000</v>
      </c>
      <c r="N9" s="30">
        <f t="shared" si="1"/>
        <v>403000</v>
      </c>
      <c r="O9" s="30">
        <f t="shared" si="1"/>
        <v>408000</v>
      </c>
      <c r="P9" s="30">
        <f t="shared" si="1"/>
        <v>545600</v>
      </c>
      <c r="Q9" s="30">
        <f t="shared" si="1"/>
        <v>756000</v>
      </c>
      <c r="R9" s="30">
        <f t="shared" si="1"/>
        <v>1085000</v>
      </c>
      <c r="S9" s="95">
        <f>SUM(E9:R9)</f>
        <v>3885850</v>
      </c>
    </row>
    <row r="10" spans="1:19" s="1" customFormat="1" ht="12" x14ac:dyDescent="0.2">
      <c r="B10" s="5" t="s">
        <v>51</v>
      </c>
      <c r="C10" s="35"/>
      <c r="D10" s="35"/>
      <c r="E10" s="27">
        <v>3</v>
      </c>
      <c r="F10" s="28">
        <v>3</v>
      </c>
      <c r="G10" s="31">
        <v>3</v>
      </c>
      <c r="H10" s="31">
        <v>3</v>
      </c>
      <c r="I10" s="31">
        <v>3</v>
      </c>
      <c r="J10" s="31">
        <v>3</v>
      </c>
      <c r="K10" s="31">
        <v>3</v>
      </c>
      <c r="L10" s="31">
        <v>4</v>
      </c>
      <c r="M10" s="31">
        <v>4</v>
      </c>
      <c r="N10" s="31">
        <v>4</v>
      </c>
      <c r="O10" s="31">
        <v>4</v>
      </c>
      <c r="P10" s="31">
        <v>4</v>
      </c>
      <c r="Q10" s="30">
        <v>5</v>
      </c>
      <c r="R10" s="31">
        <v>5</v>
      </c>
      <c r="S10" s="6"/>
    </row>
    <row r="11" spans="1:19" x14ac:dyDescent="0.25">
      <c r="B11" s="5" t="s">
        <v>52</v>
      </c>
      <c r="C11" s="35"/>
      <c r="D11" s="35"/>
      <c r="E11" s="27">
        <v>30</v>
      </c>
      <c r="F11" s="29">
        <v>10</v>
      </c>
      <c r="G11" s="32">
        <v>30</v>
      </c>
      <c r="H11" s="32">
        <v>40</v>
      </c>
      <c r="I11" s="32">
        <v>50</v>
      </c>
      <c r="J11" s="32">
        <v>50</v>
      </c>
      <c r="K11" s="32">
        <v>50</v>
      </c>
      <c r="L11" s="32">
        <v>50</v>
      </c>
      <c r="M11" s="32">
        <v>50</v>
      </c>
      <c r="N11" s="32">
        <v>60</v>
      </c>
      <c r="O11" s="32">
        <v>70</v>
      </c>
      <c r="P11" s="32">
        <v>80</v>
      </c>
      <c r="Q11" s="33">
        <v>90</v>
      </c>
      <c r="R11" s="32">
        <v>100</v>
      </c>
      <c r="S11" s="95">
        <f>SUM(E11:R11)</f>
        <v>760</v>
      </c>
    </row>
    <row r="12" spans="1:19" x14ac:dyDescent="0.25">
      <c r="B12" s="5" t="s">
        <v>53</v>
      </c>
      <c r="C12" s="35"/>
      <c r="D12" s="35"/>
      <c r="E12" s="27">
        <f t="shared" ref="E12:R12" si="2">E11*99</f>
        <v>2970</v>
      </c>
      <c r="F12" s="27">
        <f t="shared" si="2"/>
        <v>990</v>
      </c>
      <c r="G12" s="30">
        <f t="shared" si="2"/>
        <v>2970</v>
      </c>
      <c r="H12" s="30">
        <f t="shared" si="2"/>
        <v>3960</v>
      </c>
      <c r="I12" s="30">
        <f t="shared" si="2"/>
        <v>4950</v>
      </c>
      <c r="J12" s="30">
        <f t="shared" si="2"/>
        <v>4950</v>
      </c>
      <c r="K12" s="30">
        <f t="shared" si="2"/>
        <v>4950</v>
      </c>
      <c r="L12" s="30">
        <f t="shared" si="2"/>
        <v>4950</v>
      </c>
      <c r="M12" s="30">
        <f t="shared" si="2"/>
        <v>4950</v>
      </c>
      <c r="N12" s="30">
        <f t="shared" si="2"/>
        <v>5940</v>
      </c>
      <c r="O12" s="30">
        <f t="shared" si="2"/>
        <v>6930</v>
      </c>
      <c r="P12" s="30">
        <f t="shared" si="2"/>
        <v>7920</v>
      </c>
      <c r="Q12" s="30">
        <f t="shared" si="2"/>
        <v>8910</v>
      </c>
      <c r="R12" s="30">
        <f t="shared" si="2"/>
        <v>9900</v>
      </c>
      <c r="S12" s="4">
        <f>SUM(E12:R12)</f>
        <v>75240</v>
      </c>
    </row>
    <row r="13" spans="1:19" ht="15.75" x14ac:dyDescent="0.25">
      <c r="B13" s="92" t="s">
        <v>16</v>
      </c>
      <c r="C13" s="90"/>
      <c r="D13" s="90"/>
      <c r="E13" s="91">
        <f t="shared" ref="E13:R13" si="3">E9*(E10/100)+E12</f>
        <v>2997</v>
      </c>
      <c r="F13" s="91">
        <f t="shared" si="3"/>
        <v>1129.5</v>
      </c>
      <c r="G13" s="91">
        <f t="shared" si="3"/>
        <v>3295.5</v>
      </c>
      <c r="H13" s="91">
        <f t="shared" si="3"/>
        <v>4716</v>
      </c>
      <c r="I13" s="91">
        <f t="shared" si="3"/>
        <v>6066</v>
      </c>
      <c r="J13" s="91">
        <f t="shared" si="3"/>
        <v>6840</v>
      </c>
      <c r="K13" s="91">
        <f t="shared" si="3"/>
        <v>8670</v>
      </c>
      <c r="L13" s="91">
        <f t="shared" si="3"/>
        <v>12328</v>
      </c>
      <c r="M13" s="91">
        <f t="shared" si="3"/>
        <v>14470</v>
      </c>
      <c r="N13" s="91">
        <f t="shared" si="3"/>
        <v>22060</v>
      </c>
      <c r="O13" s="91">
        <f t="shared" si="3"/>
        <v>23250</v>
      </c>
      <c r="P13" s="91">
        <f t="shared" si="3"/>
        <v>29744</v>
      </c>
      <c r="Q13" s="91">
        <f t="shared" si="3"/>
        <v>46710</v>
      </c>
      <c r="R13" s="91">
        <f t="shared" si="3"/>
        <v>64150</v>
      </c>
      <c r="S13" s="55">
        <f>SUM(E13:R13)</f>
        <v>246426</v>
      </c>
    </row>
    <row r="14" spans="1:19" ht="15.75" x14ac:dyDescent="0.25">
      <c r="B14" s="51" t="s">
        <v>15</v>
      </c>
      <c r="C14" s="37"/>
      <c r="D14" s="37"/>
      <c r="E14" s="38"/>
      <c r="F14" s="38"/>
      <c r="G14" s="38"/>
      <c r="H14" s="38"/>
      <c r="I14" s="38"/>
      <c r="J14" s="38"/>
      <c r="K14" s="38"/>
      <c r="L14" s="38"/>
      <c r="M14" s="38"/>
      <c r="N14" s="37"/>
      <c r="O14" s="38"/>
      <c r="P14" s="38"/>
      <c r="Q14" s="38"/>
      <c r="R14" s="26"/>
      <c r="S14" s="69"/>
    </row>
    <row r="15" spans="1:19" x14ac:dyDescent="0.25">
      <c r="B15" s="7" t="s">
        <v>54</v>
      </c>
      <c r="C15" s="35"/>
      <c r="D15" s="35"/>
      <c r="E15" s="28">
        <f t="shared" ref="E15:R15" si="4">E11*100+E6*0.01</f>
        <v>3180</v>
      </c>
      <c r="F15" s="28">
        <f t="shared" si="4"/>
        <v>1930</v>
      </c>
      <c r="G15" s="31">
        <f t="shared" si="4"/>
        <v>5170</v>
      </c>
      <c r="H15" s="31">
        <f t="shared" si="4"/>
        <v>8200</v>
      </c>
      <c r="I15" s="31">
        <f t="shared" si="4"/>
        <v>11200</v>
      </c>
      <c r="J15" s="31">
        <f t="shared" si="4"/>
        <v>15500</v>
      </c>
      <c r="K15" s="31">
        <f t="shared" si="4"/>
        <v>20500</v>
      </c>
      <c r="L15" s="31">
        <f t="shared" si="4"/>
        <v>26700</v>
      </c>
      <c r="M15" s="31">
        <f t="shared" si="4"/>
        <v>33000</v>
      </c>
      <c r="N15" s="31">
        <f t="shared" si="4"/>
        <v>46300</v>
      </c>
      <c r="O15" s="31">
        <f t="shared" si="4"/>
        <v>58000</v>
      </c>
      <c r="P15" s="31">
        <f t="shared" si="4"/>
        <v>76200</v>
      </c>
      <c r="Q15" s="31">
        <f t="shared" si="4"/>
        <v>93000</v>
      </c>
      <c r="R15" s="31">
        <f t="shared" si="4"/>
        <v>118500</v>
      </c>
      <c r="S15" s="4">
        <f>SUM(E15:R15)</f>
        <v>517380</v>
      </c>
    </row>
    <row r="16" spans="1:19" x14ac:dyDescent="0.25">
      <c r="B16" s="7" t="s">
        <v>55</v>
      </c>
      <c r="C16" s="35"/>
      <c r="D16" s="35"/>
      <c r="E16" s="28">
        <f>(E6/1000)*0.5</f>
        <v>9</v>
      </c>
      <c r="F16" s="28">
        <f t="shared" ref="F16:R16" si="5">F6/1000*0.5</f>
        <v>46.5</v>
      </c>
      <c r="G16" s="31">
        <f t="shared" si="5"/>
        <v>108.5</v>
      </c>
      <c r="H16" s="31">
        <f t="shared" si="5"/>
        <v>210</v>
      </c>
      <c r="I16" s="31">
        <f t="shared" si="5"/>
        <v>310</v>
      </c>
      <c r="J16" s="31">
        <f t="shared" si="5"/>
        <v>525</v>
      </c>
      <c r="K16" s="31">
        <f t="shared" si="5"/>
        <v>775</v>
      </c>
      <c r="L16" s="31">
        <f t="shared" si="5"/>
        <v>1085</v>
      </c>
      <c r="M16" s="31">
        <f t="shared" si="5"/>
        <v>1400</v>
      </c>
      <c r="N16" s="31">
        <f t="shared" si="5"/>
        <v>2015</v>
      </c>
      <c r="O16" s="31">
        <f t="shared" si="5"/>
        <v>2550</v>
      </c>
      <c r="P16" s="31">
        <f t="shared" si="5"/>
        <v>3410</v>
      </c>
      <c r="Q16" s="31">
        <f t="shared" si="5"/>
        <v>4200</v>
      </c>
      <c r="R16" s="31">
        <f t="shared" si="5"/>
        <v>5425</v>
      </c>
      <c r="S16" s="4">
        <f>SUM(E16:R16)</f>
        <v>22069</v>
      </c>
    </row>
    <row r="17" spans="1:19" x14ac:dyDescent="0.25">
      <c r="B17" s="8" t="s">
        <v>56</v>
      </c>
      <c r="C17" s="35"/>
      <c r="D17" s="35"/>
      <c r="E17" s="28">
        <f t="shared" ref="E17:P17" si="6">(E6/100000)*10000</f>
        <v>1800</v>
      </c>
      <c r="F17" s="28">
        <f t="shared" si="6"/>
        <v>9300</v>
      </c>
      <c r="G17" s="31">
        <f t="shared" si="6"/>
        <v>21700</v>
      </c>
      <c r="H17" s="31">
        <f t="shared" si="6"/>
        <v>42000</v>
      </c>
      <c r="I17" s="31">
        <f t="shared" si="6"/>
        <v>62000</v>
      </c>
      <c r="J17" s="31">
        <f t="shared" si="6"/>
        <v>105000</v>
      </c>
      <c r="K17" s="31">
        <f t="shared" si="6"/>
        <v>155000</v>
      </c>
      <c r="L17" s="31">
        <f t="shared" si="6"/>
        <v>217000</v>
      </c>
      <c r="M17" s="31">
        <f t="shared" si="6"/>
        <v>280000</v>
      </c>
      <c r="N17" s="31">
        <f t="shared" si="6"/>
        <v>403000</v>
      </c>
      <c r="O17" s="31">
        <f t="shared" si="6"/>
        <v>510000</v>
      </c>
      <c r="P17" s="31">
        <f t="shared" si="6"/>
        <v>682000</v>
      </c>
      <c r="Q17" s="31">
        <f>(Q6/100000)*10000</f>
        <v>840000</v>
      </c>
      <c r="R17" s="31">
        <f>(R6/100000)*10000</f>
        <v>1085000</v>
      </c>
      <c r="S17" s="4">
        <f>SUM(E17:R17)</f>
        <v>4413800</v>
      </c>
    </row>
    <row r="18" spans="1:19" x14ac:dyDescent="0.25">
      <c r="B18" s="8" t="s">
        <v>57</v>
      </c>
      <c r="C18" s="35"/>
      <c r="D18" s="35"/>
      <c r="E18" s="31">
        <f t="shared" ref="E18:R18" si="7">E9*0.02</f>
        <v>18</v>
      </c>
      <c r="F18" s="31">
        <f t="shared" si="7"/>
        <v>93</v>
      </c>
      <c r="G18" s="31">
        <f t="shared" si="7"/>
        <v>217</v>
      </c>
      <c r="H18" s="31">
        <f t="shared" si="7"/>
        <v>504</v>
      </c>
      <c r="I18" s="31">
        <f t="shared" si="7"/>
        <v>744</v>
      </c>
      <c r="J18" s="31">
        <f t="shared" si="7"/>
        <v>1260</v>
      </c>
      <c r="K18" s="31">
        <f t="shared" si="7"/>
        <v>2480</v>
      </c>
      <c r="L18" s="31">
        <f t="shared" si="7"/>
        <v>3689</v>
      </c>
      <c r="M18" s="31">
        <f t="shared" si="7"/>
        <v>4760</v>
      </c>
      <c r="N18" s="31">
        <f t="shared" si="7"/>
        <v>8060</v>
      </c>
      <c r="O18" s="31">
        <f t="shared" si="7"/>
        <v>8160</v>
      </c>
      <c r="P18" s="31">
        <f t="shared" si="7"/>
        <v>10912</v>
      </c>
      <c r="Q18" s="31">
        <f t="shared" si="7"/>
        <v>15120</v>
      </c>
      <c r="R18" s="31">
        <f t="shared" si="7"/>
        <v>21700</v>
      </c>
      <c r="S18" s="4">
        <f>SUM(E18:R18)</f>
        <v>77717</v>
      </c>
    </row>
    <row r="19" spans="1:19" ht="15.75" x14ac:dyDescent="0.25">
      <c r="B19" s="92" t="s">
        <v>16</v>
      </c>
      <c r="C19" s="93"/>
      <c r="D19" s="93"/>
      <c r="E19" s="91">
        <f t="shared" ref="E19:R19" si="8">SUM(E15:E18)</f>
        <v>5007</v>
      </c>
      <c r="F19" s="91">
        <f t="shared" si="8"/>
        <v>11369.5</v>
      </c>
      <c r="G19" s="91">
        <f t="shared" si="8"/>
        <v>27195.5</v>
      </c>
      <c r="H19" s="91">
        <f t="shared" si="8"/>
        <v>50914</v>
      </c>
      <c r="I19" s="91">
        <f t="shared" si="8"/>
        <v>74254</v>
      </c>
      <c r="J19" s="91">
        <f t="shared" si="8"/>
        <v>122285</v>
      </c>
      <c r="K19" s="91">
        <f t="shared" si="8"/>
        <v>178755</v>
      </c>
      <c r="L19" s="91">
        <f t="shared" si="8"/>
        <v>248474</v>
      </c>
      <c r="M19" s="91">
        <f t="shared" si="8"/>
        <v>319160</v>
      </c>
      <c r="N19" s="91">
        <f t="shared" si="8"/>
        <v>459375</v>
      </c>
      <c r="O19" s="91">
        <f t="shared" si="8"/>
        <v>578710</v>
      </c>
      <c r="P19" s="91">
        <f t="shared" si="8"/>
        <v>772522</v>
      </c>
      <c r="Q19" s="91">
        <f t="shared" si="8"/>
        <v>952320</v>
      </c>
      <c r="R19" s="91">
        <f t="shared" si="8"/>
        <v>1230625</v>
      </c>
      <c r="S19" s="55">
        <f>SUM(E19:R19)</f>
        <v>5030966</v>
      </c>
    </row>
    <row r="20" spans="1:19" ht="15.75" x14ac:dyDescent="0.25">
      <c r="B20" s="51" t="s">
        <v>17</v>
      </c>
      <c r="C20" s="37"/>
      <c r="D20" s="37"/>
      <c r="E20" s="37"/>
      <c r="F20" s="37"/>
      <c r="G20" s="37"/>
      <c r="H20" s="37"/>
      <c r="I20" s="37"/>
      <c r="J20" s="37"/>
      <c r="K20" s="37"/>
      <c r="L20" s="37"/>
      <c r="M20" s="37"/>
      <c r="N20" s="37"/>
      <c r="O20" s="37"/>
      <c r="P20" s="37"/>
      <c r="Q20" s="37"/>
      <c r="R20" s="71"/>
      <c r="S20" s="69"/>
    </row>
    <row r="21" spans="1:19" x14ac:dyDescent="0.25">
      <c r="B21" s="8" t="s">
        <v>81</v>
      </c>
      <c r="C21" s="34"/>
      <c r="D21" s="34">
        <v>300000</v>
      </c>
      <c r="E21" s="34"/>
      <c r="F21" s="34"/>
      <c r="G21" s="34"/>
      <c r="H21" s="34"/>
      <c r="I21" s="34"/>
      <c r="J21" s="34"/>
      <c r="K21" s="34"/>
      <c r="L21" s="34"/>
      <c r="M21" s="34"/>
      <c r="N21" s="34"/>
      <c r="O21" s="34"/>
      <c r="P21" s="34"/>
      <c r="Q21" s="34"/>
      <c r="R21" s="34"/>
      <c r="S21" s="9">
        <f>SUM(C21:R21)</f>
        <v>300000</v>
      </c>
    </row>
    <row r="22" spans="1:19" x14ac:dyDescent="0.25">
      <c r="B22" s="8" t="s">
        <v>58</v>
      </c>
      <c r="C22" s="34"/>
      <c r="D22" s="34"/>
      <c r="E22" s="34"/>
      <c r="F22" s="34"/>
      <c r="G22" s="34"/>
      <c r="H22" s="34"/>
      <c r="I22" s="34"/>
      <c r="J22" s="34"/>
      <c r="K22" s="34"/>
      <c r="L22" s="34"/>
      <c r="M22" s="34">
        <v>100000</v>
      </c>
      <c r="N22" s="34"/>
      <c r="O22" s="34"/>
      <c r="P22" s="34"/>
      <c r="Q22" s="34">
        <v>100000</v>
      </c>
      <c r="R22" s="34"/>
      <c r="S22" s="9">
        <f>SUM(E22:R22)</f>
        <v>200000</v>
      </c>
    </row>
    <row r="23" spans="1:19" x14ac:dyDescent="0.25">
      <c r="B23" s="8" t="s">
        <v>59</v>
      </c>
      <c r="C23" s="34"/>
      <c r="D23" s="34"/>
      <c r="E23" s="34">
        <f t="shared" ref="E23:R23" si="9">E11/10</f>
        <v>3</v>
      </c>
      <c r="F23" s="34">
        <f t="shared" si="9"/>
        <v>1</v>
      </c>
      <c r="G23" s="34">
        <f t="shared" si="9"/>
        <v>3</v>
      </c>
      <c r="H23" s="34">
        <f t="shared" si="9"/>
        <v>4</v>
      </c>
      <c r="I23" s="34">
        <f t="shared" si="9"/>
        <v>5</v>
      </c>
      <c r="J23" s="34">
        <f t="shared" si="9"/>
        <v>5</v>
      </c>
      <c r="K23" s="34">
        <f t="shared" si="9"/>
        <v>5</v>
      </c>
      <c r="L23" s="34">
        <f t="shared" si="9"/>
        <v>5</v>
      </c>
      <c r="M23" s="34">
        <f t="shared" si="9"/>
        <v>5</v>
      </c>
      <c r="N23" s="34">
        <f t="shared" si="9"/>
        <v>6</v>
      </c>
      <c r="O23" s="34">
        <f t="shared" si="9"/>
        <v>7</v>
      </c>
      <c r="P23" s="34">
        <f t="shared" si="9"/>
        <v>8</v>
      </c>
      <c r="Q23" s="34">
        <f t="shared" si="9"/>
        <v>9</v>
      </c>
      <c r="R23" s="34">
        <f t="shared" si="9"/>
        <v>10</v>
      </c>
      <c r="S23" s="9">
        <f>SUM(E23:R23)</f>
        <v>76</v>
      </c>
    </row>
    <row r="24" spans="1:19" x14ac:dyDescent="0.25">
      <c r="B24" s="8" t="s">
        <v>60</v>
      </c>
      <c r="C24" s="34"/>
      <c r="D24" s="34"/>
      <c r="E24" s="34">
        <f t="shared" ref="E24:R24" si="10">E23*6000</f>
        <v>18000</v>
      </c>
      <c r="F24" s="34">
        <f t="shared" si="10"/>
        <v>6000</v>
      </c>
      <c r="G24" s="34">
        <f t="shared" si="10"/>
        <v>18000</v>
      </c>
      <c r="H24" s="34">
        <f t="shared" si="10"/>
        <v>24000</v>
      </c>
      <c r="I24" s="34">
        <f t="shared" si="10"/>
        <v>30000</v>
      </c>
      <c r="J24" s="34">
        <f t="shared" si="10"/>
        <v>30000</v>
      </c>
      <c r="K24" s="34">
        <f t="shared" si="10"/>
        <v>30000</v>
      </c>
      <c r="L24" s="34">
        <f t="shared" si="10"/>
        <v>30000</v>
      </c>
      <c r="M24" s="34">
        <f t="shared" si="10"/>
        <v>30000</v>
      </c>
      <c r="N24" s="34">
        <f t="shared" si="10"/>
        <v>36000</v>
      </c>
      <c r="O24" s="34">
        <f t="shared" si="10"/>
        <v>42000</v>
      </c>
      <c r="P24" s="34">
        <f t="shared" si="10"/>
        <v>48000</v>
      </c>
      <c r="Q24" s="34">
        <f t="shared" si="10"/>
        <v>54000</v>
      </c>
      <c r="R24" s="34">
        <f t="shared" si="10"/>
        <v>60000</v>
      </c>
      <c r="S24" s="9">
        <f>SUM(E24:R24)</f>
        <v>456000</v>
      </c>
    </row>
    <row r="25" spans="1:19" s="17" customFormat="1" ht="26.1" customHeight="1" thickBot="1" x14ac:dyDescent="0.3">
      <c r="B25" s="57" t="s">
        <v>18</v>
      </c>
      <c r="C25" s="67">
        <f t="shared" ref="C25:R25" si="11">C24+C22+C21+C18+C17+C16+C15+C13</f>
        <v>0</v>
      </c>
      <c r="D25" s="67">
        <f t="shared" ref="D25" si="12">D24+D22+D21+D18+D17+D16+D15+D13</f>
        <v>300000</v>
      </c>
      <c r="E25" s="67">
        <f t="shared" si="11"/>
        <v>26004</v>
      </c>
      <c r="F25" s="67">
        <f t="shared" si="11"/>
        <v>18499</v>
      </c>
      <c r="G25" s="67">
        <f t="shared" si="11"/>
        <v>48491</v>
      </c>
      <c r="H25" s="67">
        <f t="shared" si="11"/>
        <v>79630</v>
      </c>
      <c r="I25" s="67">
        <f t="shared" si="11"/>
        <v>110320</v>
      </c>
      <c r="J25" s="67">
        <f t="shared" si="11"/>
        <v>159125</v>
      </c>
      <c r="K25" s="67">
        <f t="shared" si="11"/>
        <v>217425</v>
      </c>
      <c r="L25" s="67">
        <f t="shared" si="11"/>
        <v>290802</v>
      </c>
      <c r="M25" s="67">
        <f t="shared" si="11"/>
        <v>463630</v>
      </c>
      <c r="N25" s="67">
        <f t="shared" si="11"/>
        <v>517435</v>
      </c>
      <c r="O25" s="67">
        <f t="shared" si="11"/>
        <v>643960</v>
      </c>
      <c r="P25" s="67">
        <f t="shared" si="11"/>
        <v>850266</v>
      </c>
      <c r="Q25" s="67">
        <f t="shared" si="11"/>
        <v>1153030</v>
      </c>
      <c r="R25" s="67">
        <f t="shared" si="11"/>
        <v>1354775</v>
      </c>
      <c r="S25" s="68">
        <f>SUM(E25:R25)</f>
        <v>5933392</v>
      </c>
    </row>
    <row r="26" spans="1:19" ht="15" customHeight="1" thickBot="1" x14ac:dyDescent="0.3">
      <c r="S26" s="2"/>
    </row>
    <row r="27" spans="1:19" ht="23.25" x14ac:dyDescent="0.25">
      <c r="A27" s="89"/>
      <c r="B27" s="36" t="s">
        <v>19</v>
      </c>
      <c r="C27" s="64">
        <v>41730</v>
      </c>
      <c r="D27" s="15">
        <v>41760</v>
      </c>
      <c r="E27" s="64">
        <v>41791</v>
      </c>
      <c r="F27" s="15">
        <v>41821</v>
      </c>
      <c r="G27" s="64">
        <v>41852</v>
      </c>
      <c r="H27" s="15">
        <v>41883</v>
      </c>
      <c r="I27" s="64">
        <v>41913</v>
      </c>
      <c r="J27" s="15">
        <v>41944</v>
      </c>
      <c r="K27" s="64">
        <v>41974</v>
      </c>
      <c r="L27" s="15">
        <v>42005</v>
      </c>
      <c r="M27" s="64">
        <v>42036</v>
      </c>
      <c r="N27" s="15">
        <v>42064</v>
      </c>
      <c r="O27" s="64">
        <v>42095</v>
      </c>
      <c r="P27" s="15">
        <v>42125</v>
      </c>
      <c r="Q27" s="64">
        <v>42156</v>
      </c>
      <c r="R27" s="64">
        <v>42186</v>
      </c>
      <c r="S27" s="96" t="s">
        <v>8</v>
      </c>
    </row>
    <row r="28" spans="1:19" ht="15.75" x14ac:dyDescent="0.25">
      <c r="B28" s="51" t="s">
        <v>20</v>
      </c>
      <c r="C28" s="37"/>
      <c r="D28" s="37"/>
      <c r="E28" s="38"/>
      <c r="F28" s="38"/>
      <c r="G28" s="38"/>
      <c r="H28" s="38"/>
      <c r="I28" s="38"/>
      <c r="J28" s="38"/>
      <c r="K28" s="38"/>
      <c r="L28" s="38"/>
      <c r="M28" s="38"/>
      <c r="N28" s="37"/>
      <c r="O28" s="38"/>
      <c r="P28" s="38"/>
      <c r="Q28" s="38"/>
      <c r="R28" s="88"/>
      <c r="S28" s="94"/>
    </row>
    <row r="29" spans="1:19" x14ac:dyDescent="0.25">
      <c r="B29" s="10" t="s">
        <v>61</v>
      </c>
      <c r="C29" s="34">
        <v>10000</v>
      </c>
      <c r="D29" s="34">
        <v>10000</v>
      </c>
      <c r="E29" s="30">
        <f t="shared" ref="E29:R29" si="13">E25*0.04</f>
        <v>1040.1600000000001</v>
      </c>
      <c r="F29" s="30">
        <f t="shared" si="13"/>
        <v>739.96</v>
      </c>
      <c r="G29" s="30">
        <f t="shared" si="13"/>
        <v>1939.64</v>
      </c>
      <c r="H29" s="30">
        <f t="shared" si="13"/>
        <v>3185.2000000000003</v>
      </c>
      <c r="I29" s="30">
        <f t="shared" si="13"/>
        <v>4412.8</v>
      </c>
      <c r="J29" s="30">
        <f t="shared" si="13"/>
        <v>6365</v>
      </c>
      <c r="K29" s="30">
        <f t="shared" si="13"/>
        <v>8697</v>
      </c>
      <c r="L29" s="30">
        <f t="shared" si="13"/>
        <v>11632.08</v>
      </c>
      <c r="M29" s="30">
        <f t="shared" si="13"/>
        <v>18545.2</v>
      </c>
      <c r="N29" s="30">
        <f t="shared" si="13"/>
        <v>20697.400000000001</v>
      </c>
      <c r="O29" s="30">
        <f t="shared" si="13"/>
        <v>25758.400000000001</v>
      </c>
      <c r="P29" s="30">
        <f t="shared" si="13"/>
        <v>34010.639999999999</v>
      </c>
      <c r="Q29" s="30">
        <f t="shared" si="13"/>
        <v>46121.200000000004</v>
      </c>
      <c r="R29" s="30">
        <f t="shared" si="13"/>
        <v>54191</v>
      </c>
      <c r="S29" s="11">
        <f>SUM(C29:R29)</f>
        <v>257335.67999999999</v>
      </c>
    </row>
    <row r="30" spans="1:19" x14ac:dyDescent="0.25">
      <c r="B30" s="10" t="s">
        <v>62</v>
      </c>
      <c r="C30" s="34"/>
      <c r="D30" s="34"/>
      <c r="E30" s="30">
        <f t="shared" ref="E30:R30" si="14">E25*0.02</f>
        <v>520.08000000000004</v>
      </c>
      <c r="F30" s="30">
        <f t="shared" si="14"/>
        <v>369.98</v>
      </c>
      <c r="G30" s="30">
        <f t="shared" si="14"/>
        <v>969.82</v>
      </c>
      <c r="H30" s="30">
        <f t="shared" si="14"/>
        <v>1592.6000000000001</v>
      </c>
      <c r="I30" s="30">
        <f t="shared" si="14"/>
        <v>2206.4</v>
      </c>
      <c r="J30" s="30">
        <f t="shared" si="14"/>
        <v>3182.5</v>
      </c>
      <c r="K30" s="30">
        <f t="shared" si="14"/>
        <v>4348.5</v>
      </c>
      <c r="L30" s="30">
        <f t="shared" si="14"/>
        <v>5816.04</v>
      </c>
      <c r="M30" s="30">
        <f t="shared" si="14"/>
        <v>9272.6</v>
      </c>
      <c r="N30" s="30">
        <f t="shared" si="14"/>
        <v>10348.700000000001</v>
      </c>
      <c r="O30" s="30">
        <f t="shared" si="14"/>
        <v>12879.2</v>
      </c>
      <c r="P30" s="30">
        <f t="shared" si="14"/>
        <v>17005.32</v>
      </c>
      <c r="Q30" s="30">
        <f t="shared" si="14"/>
        <v>23060.600000000002</v>
      </c>
      <c r="R30" s="30">
        <f t="shared" si="14"/>
        <v>27095.5</v>
      </c>
      <c r="S30" s="11">
        <f>SUM(C30:R30)</f>
        <v>118667.84</v>
      </c>
    </row>
    <row r="31" spans="1:19" x14ac:dyDescent="0.25">
      <c r="B31" s="12" t="s">
        <v>63</v>
      </c>
      <c r="C31" s="58"/>
      <c r="D31" s="58"/>
      <c r="E31" s="59">
        <f t="shared" ref="E31:R31" si="15">E25*0.15</f>
        <v>3900.6</v>
      </c>
      <c r="F31" s="59">
        <f t="shared" si="15"/>
        <v>2774.85</v>
      </c>
      <c r="G31" s="59">
        <f t="shared" si="15"/>
        <v>7273.65</v>
      </c>
      <c r="H31" s="59">
        <f t="shared" si="15"/>
        <v>11944.5</v>
      </c>
      <c r="I31" s="59">
        <f t="shared" si="15"/>
        <v>16548</v>
      </c>
      <c r="J31" s="59">
        <f t="shared" si="15"/>
        <v>23868.75</v>
      </c>
      <c r="K31" s="59">
        <f t="shared" si="15"/>
        <v>32613.75</v>
      </c>
      <c r="L31" s="59">
        <f t="shared" si="15"/>
        <v>43620.299999999996</v>
      </c>
      <c r="M31" s="59">
        <f t="shared" si="15"/>
        <v>69544.5</v>
      </c>
      <c r="N31" s="59">
        <f t="shared" si="15"/>
        <v>77615.25</v>
      </c>
      <c r="O31" s="59">
        <f t="shared" si="15"/>
        <v>96594</v>
      </c>
      <c r="P31" s="59">
        <f t="shared" si="15"/>
        <v>127539.9</v>
      </c>
      <c r="Q31" s="59">
        <f t="shared" si="15"/>
        <v>172954.5</v>
      </c>
      <c r="R31" s="59">
        <f t="shared" si="15"/>
        <v>203216.25</v>
      </c>
      <c r="S31" s="11">
        <f>SUM(C31:R31)</f>
        <v>890008.8</v>
      </c>
    </row>
    <row r="32" spans="1:19" ht="15.75" x14ac:dyDescent="0.25">
      <c r="B32" s="51" t="s">
        <v>21</v>
      </c>
      <c r="C32" s="37"/>
      <c r="D32" s="37"/>
      <c r="E32" s="38"/>
      <c r="F32" s="38"/>
      <c r="G32" s="38"/>
      <c r="H32" s="38"/>
      <c r="I32" s="38"/>
      <c r="J32" s="38"/>
      <c r="K32" s="38"/>
      <c r="L32" s="38"/>
      <c r="M32" s="38"/>
      <c r="N32" s="37"/>
      <c r="O32" s="38"/>
      <c r="P32" s="38"/>
      <c r="Q32" s="38"/>
      <c r="R32" s="88"/>
      <c r="S32" s="69"/>
    </row>
    <row r="33" spans="2:19" x14ac:dyDescent="0.25">
      <c r="B33" s="10" t="s">
        <v>64</v>
      </c>
      <c r="C33" s="34"/>
      <c r="D33" s="34">
        <v>35000</v>
      </c>
      <c r="E33" s="30"/>
      <c r="F33" s="30"/>
      <c r="G33" s="30"/>
      <c r="H33" s="34">
        <v>35000</v>
      </c>
      <c r="I33" s="30"/>
      <c r="J33" s="30"/>
      <c r="K33" s="30"/>
      <c r="L33" s="34">
        <v>35000</v>
      </c>
      <c r="M33" s="30"/>
      <c r="N33" s="30"/>
      <c r="O33" s="30"/>
      <c r="P33" s="30">
        <v>35000</v>
      </c>
      <c r="Q33" s="30"/>
      <c r="R33" s="30"/>
      <c r="S33" s="11">
        <f t="shared" ref="S33:S38" si="16">SUM(C33:R33)</f>
        <v>140000</v>
      </c>
    </row>
    <row r="34" spans="2:19" x14ac:dyDescent="0.25">
      <c r="B34" s="10" t="s">
        <v>65</v>
      </c>
      <c r="C34" s="34"/>
      <c r="D34" s="34"/>
      <c r="E34" s="30">
        <f t="shared" ref="E34:R34" si="17">E25*0.03</f>
        <v>780.12</v>
      </c>
      <c r="F34" s="30">
        <f t="shared" si="17"/>
        <v>554.97</v>
      </c>
      <c r="G34" s="30">
        <f t="shared" si="17"/>
        <v>1454.73</v>
      </c>
      <c r="H34" s="30">
        <f t="shared" si="17"/>
        <v>2388.9</v>
      </c>
      <c r="I34" s="30">
        <f t="shared" si="17"/>
        <v>3309.6</v>
      </c>
      <c r="J34" s="30">
        <f t="shared" si="17"/>
        <v>4773.75</v>
      </c>
      <c r="K34" s="30">
        <f t="shared" si="17"/>
        <v>6522.75</v>
      </c>
      <c r="L34" s="30">
        <f t="shared" si="17"/>
        <v>8724.06</v>
      </c>
      <c r="M34" s="30">
        <f t="shared" si="17"/>
        <v>13908.9</v>
      </c>
      <c r="N34" s="30">
        <f t="shared" si="17"/>
        <v>15523.05</v>
      </c>
      <c r="O34" s="30">
        <f t="shared" si="17"/>
        <v>19318.8</v>
      </c>
      <c r="P34" s="30">
        <f t="shared" si="17"/>
        <v>25507.98</v>
      </c>
      <c r="Q34" s="30">
        <f t="shared" si="17"/>
        <v>34590.9</v>
      </c>
      <c r="R34" s="30">
        <f t="shared" si="17"/>
        <v>40643.25</v>
      </c>
      <c r="S34" s="11">
        <f t="shared" si="16"/>
        <v>178001.76</v>
      </c>
    </row>
    <row r="35" spans="2:19" x14ac:dyDescent="0.25">
      <c r="B35" s="10" t="s">
        <v>66</v>
      </c>
      <c r="C35" s="34"/>
      <c r="D35" s="34"/>
      <c r="E35" s="30">
        <f t="shared" ref="E35:R35" si="18">E24*0.7</f>
        <v>12600</v>
      </c>
      <c r="F35" s="30">
        <f t="shared" si="18"/>
        <v>4200</v>
      </c>
      <c r="G35" s="30">
        <f t="shared" si="18"/>
        <v>12600</v>
      </c>
      <c r="H35" s="30">
        <f t="shared" si="18"/>
        <v>16800</v>
      </c>
      <c r="I35" s="30">
        <f t="shared" si="18"/>
        <v>21000</v>
      </c>
      <c r="J35" s="30">
        <f t="shared" si="18"/>
        <v>21000</v>
      </c>
      <c r="K35" s="30">
        <f t="shared" si="18"/>
        <v>21000</v>
      </c>
      <c r="L35" s="30">
        <f t="shared" si="18"/>
        <v>21000</v>
      </c>
      <c r="M35" s="30">
        <f t="shared" si="18"/>
        <v>21000</v>
      </c>
      <c r="N35" s="30">
        <f t="shared" si="18"/>
        <v>25200</v>
      </c>
      <c r="O35" s="30">
        <f t="shared" si="18"/>
        <v>29399.999999999996</v>
      </c>
      <c r="P35" s="30">
        <f t="shared" si="18"/>
        <v>33600</v>
      </c>
      <c r="Q35" s="30">
        <f t="shared" si="18"/>
        <v>37800</v>
      </c>
      <c r="R35" s="30">
        <f t="shared" si="18"/>
        <v>42000</v>
      </c>
      <c r="S35" s="11">
        <f t="shared" si="16"/>
        <v>319200</v>
      </c>
    </row>
    <row r="36" spans="2:19" x14ac:dyDescent="0.25">
      <c r="B36" s="10" t="s">
        <v>67</v>
      </c>
      <c r="C36" s="34"/>
      <c r="D36" s="34">
        <v>15000</v>
      </c>
      <c r="E36" s="30">
        <f t="shared" ref="E36:R36" si="19">E25*0.02</f>
        <v>520.08000000000004</v>
      </c>
      <c r="F36" s="30">
        <f t="shared" si="19"/>
        <v>369.98</v>
      </c>
      <c r="G36" s="30">
        <f t="shared" si="19"/>
        <v>969.82</v>
      </c>
      <c r="H36" s="30">
        <f t="shared" si="19"/>
        <v>1592.6000000000001</v>
      </c>
      <c r="I36" s="30">
        <f t="shared" si="19"/>
        <v>2206.4</v>
      </c>
      <c r="J36" s="30">
        <f t="shared" si="19"/>
        <v>3182.5</v>
      </c>
      <c r="K36" s="30">
        <f t="shared" si="19"/>
        <v>4348.5</v>
      </c>
      <c r="L36" s="30">
        <f t="shared" si="19"/>
        <v>5816.04</v>
      </c>
      <c r="M36" s="30">
        <f t="shared" si="19"/>
        <v>9272.6</v>
      </c>
      <c r="N36" s="30">
        <f t="shared" si="19"/>
        <v>10348.700000000001</v>
      </c>
      <c r="O36" s="30">
        <f t="shared" si="19"/>
        <v>12879.2</v>
      </c>
      <c r="P36" s="30">
        <f t="shared" si="19"/>
        <v>17005.32</v>
      </c>
      <c r="Q36" s="30">
        <f t="shared" si="19"/>
        <v>23060.600000000002</v>
      </c>
      <c r="R36" s="30">
        <f t="shared" si="19"/>
        <v>27095.5</v>
      </c>
      <c r="S36" s="11">
        <f t="shared" si="16"/>
        <v>133667.84</v>
      </c>
    </row>
    <row r="37" spans="2:19" x14ac:dyDescent="0.25">
      <c r="B37" s="10" t="s">
        <v>68</v>
      </c>
      <c r="C37" s="34"/>
      <c r="D37" s="34"/>
      <c r="E37" s="30">
        <v>2000</v>
      </c>
      <c r="F37" s="30">
        <v>2000</v>
      </c>
      <c r="G37" s="30">
        <v>2000</v>
      </c>
      <c r="H37" s="30">
        <v>2000</v>
      </c>
      <c r="I37" s="30">
        <v>2000</v>
      </c>
      <c r="J37" s="30">
        <v>3000</v>
      </c>
      <c r="K37" s="30">
        <v>3000</v>
      </c>
      <c r="L37" s="30">
        <v>4000</v>
      </c>
      <c r="M37" s="30">
        <v>4000</v>
      </c>
      <c r="N37" s="30">
        <v>4000</v>
      </c>
      <c r="O37" s="30">
        <v>5000</v>
      </c>
      <c r="P37" s="31">
        <v>5000</v>
      </c>
      <c r="Q37" s="31">
        <v>5000</v>
      </c>
      <c r="R37" s="31">
        <v>5000</v>
      </c>
      <c r="S37" s="11">
        <f t="shared" si="16"/>
        <v>48000</v>
      </c>
    </row>
    <row r="38" spans="2:19" x14ac:dyDescent="0.25">
      <c r="B38" s="12" t="s">
        <v>69</v>
      </c>
      <c r="C38" s="58"/>
      <c r="D38" s="58"/>
      <c r="E38" s="59">
        <v>10000</v>
      </c>
      <c r="F38" s="59">
        <v>10000</v>
      </c>
      <c r="G38" s="59">
        <v>10000</v>
      </c>
      <c r="H38" s="59">
        <v>10000</v>
      </c>
      <c r="I38" s="59">
        <v>10000</v>
      </c>
      <c r="J38" s="59">
        <v>10000</v>
      </c>
      <c r="K38" s="59">
        <v>10000</v>
      </c>
      <c r="L38" s="59">
        <v>10000</v>
      </c>
      <c r="M38" s="59">
        <v>20000</v>
      </c>
      <c r="N38" s="59">
        <v>20000</v>
      </c>
      <c r="O38" s="59">
        <v>20000</v>
      </c>
      <c r="P38" s="59">
        <v>20000</v>
      </c>
      <c r="Q38" s="59">
        <v>20000</v>
      </c>
      <c r="R38" s="59">
        <v>20000</v>
      </c>
      <c r="S38" s="11">
        <f t="shared" si="16"/>
        <v>200000</v>
      </c>
    </row>
    <row r="39" spans="2:19" ht="15.75" x14ac:dyDescent="0.25">
      <c r="B39" s="51" t="s">
        <v>22</v>
      </c>
      <c r="C39" s="37"/>
      <c r="D39" s="37"/>
      <c r="E39" s="38"/>
      <c r="F39" s="38"/>
      <c r="G39" s="38"/>
      <c r="H39" s="38"/>
      <c r="I39" s="38"/>
      <c r="J39" s="38"/>
      <c r="K39" s="38"/>
      <c r="L39" s="38"/>
      <c r="M39" s="38"/>
      <c r="N39" s="37"/>
      <c r="O39" s="38"/>
      <c r="P39" s="38"/>
      <c r="Q39" s="38"/>
      <c r="R39" s="88"/>
      <c r="S39" s="69"/>
    </row>
    <row r="40" spans="2:19" x14ac:dyDescent="0.25">
      <c r="B40" s="53" t="s">
        <v>70</v>
      </c>
      <c r="C40" s="60">
        <v>2</v>
      </c>
      <c r="D40" s="60">
        <v>2</v>
      </c>
      <c r="E40" s="60">
        <v>6</v>
      </c>
      <c r="F40" s="60">
        <v>10</v>
      </c>
      <c r="G40" s="60">
        <v>12</v>
      </c>
      <c r="H40" s="60">
        <v>12</v>
      </c>
      <c r="I40" s="60">
        <v>18</v>
      </c>
      <c r="J40" s="60">
        <v>20</v>
      </c>
      <c r="K40" s="60">
        <v>20</v>
      </c>
      <c r="L40" s="60">
        <v>20</v>
      </c>
      <c r="M40" s="60">
        <v>25</v>
      </c>
      <c r="N40" s="60">
        <v>25</v>
      </c>
      <c r="O40" s="60">
        <v>30</v>
      </c>
      <c r="P40" s="60">
        <v>35</v>
      </c>
      <c r="Q40" s="60">
        <v>40</v>
      </c>
      <c r="R40" s="60">
        <v>45</v>
      </c>
      <c r="S40" s="13"/>
    </row>
    <row r="41" spans="2:19" x14ac:dyDescent="0.25">
      <c r="B41" s="53" t="s">
        <v>71</v>
      </c>
      <c r="C41" s="60">
        <v>2000</v>
      </c>
      <c r="D41" s="60">
        <v>2000</v>
      </c>
      <c r="E41" s="60">
        <v>2000</v>
      </c>
      <c r="F41" s="60">
        <v>2000</v>
      </c>
      <c r="G41" s="60">
        <v>2000</v>
      </c>
      <c r="H41" s="60">
        <v>2000</v>
      </c>
      <c r="I41" s="60">
        <v>2000</v>
      </c>
      <c r="J41" s="60">
        <v>2200</v>
      </c>
      <c r="K41" s="60">
        <v>2200</v>
      </c>
      <c r="L41" s="60">
        <v>2200</v>
      </c>
      <c r="M41" s="60">
        <v>2200</v>
      </c>
      <c r="N41" s="60">
        <v>2200</v>
      </c>
      <c r="O41" s="60">
        <v>3000</v>
      </c>
      <c r="P41" s="60">
        <v>3000</v>
      </c>
      <c r="Q41" s="60">
        <v>3000</v>
      </c>
      <c r="R41" s="60">
        <v>3000</v>
      </c>
      <c r="S41" s="13"/>
    </row>
    <row r="42" spans="2:19" x14ac:dyDescent="0.25">
      <c r="B42" s="14" t="s">
        <v>72</v>
      </c>
      <c r="C42" s="61">
        <f>C41*C40</f>
        <v>4000</v>
      </c>
      <c r="D42" s="61">
        <f>D41*D40</f>
        <v>4000</v>
      </c>
      <c r="E42" s="61">
        <f>E41*E40</f>
        <v>12000</v>
      </c>
      <c r="F42" s="62">
        <f t="shared" ref="F42:R42" si="20">F41*F40</f>
        <v>20000</v>
      </c>
      <c r="G42" s="62">
        <f t="shared" si="20"/>
        <v>24000</v>
      </c>
      <c r="H42" s="62">
        <f t="shared" si="20"/>
        <v>24000</v>
      </c>
      <c r="I42" s="62">
        <f t="shared" si="20"/>
        <v>36000</v>
      </c>
      <c r="J42" s="62">
        <f t="shared" si="20"/>
        <v>44000</v>
      </c>
      <c r="K42" s="62">
        <f t="shared" si="20"/>
        <v>44000</v>
      </c>
      <c r="L42" s="62">
        <f t="shared" si="20"/>
        <v>44000</v>
      </c>
      <c r="M42" s="62">
        <f t="shared" si="20"/>
        <v>55000</v>
      </c>
      <c r="N42" s="62">
        <f t="shared" si="20"/>
        <v>55000</v>
      </c>
      <c r="O42" s="62">
        <f t="shared" si="20"/>
        <v>90000</v>
      </c>
      <c r="P42" s="62">
        <f t="shared" si="20"/>
        <v>105000</v>
      </c>
      <c r="Q42" s="62">
        <f t="shared" si="20"/>
        <v>120000</v>
      </c>
      <c r="R42" s="62">
        <f t="shared" si="20"/>
        <v>135000</v>
      </c>
      <c r="S42" s="11">
        <f>SUM(C42:R42)</f>
        <v>816000</v>
      </c>
    </row>
    <row r="43" spans="2:19" x14ac:dyDescent="0.25">
      <c r="B43" s="10" t="s">
        <v>73</v>
      </c>
      <c r="C43" s="30">
        <f t="shared" ref="C43:R43" si="21">C40*150</f>
        <v>300</v>
      </c>
      <c r="D43" s="30">
        <f t="shared" ref="D43" si="22">D40*150</f>
        <v>300</v>
      </c>
      <c r="E43" s="30">
        <f t="shared" si="21"/>
        <v>900</v>
      </c>
      <c r="F43" s="30">
        <f t="shared" si="21"/>
        <v>1500</v>
      </c>
      <c r="G43" s="30">
        <f t="shared" si="21"/>
        <v>1800</v>
      </c>
      <c r="H43" s="30">
        <f t="shared" si="21"/>
        <v>1800</v>
      </c>
      <c r="I43" s="30">
        <f t="shared" si="21"/>
        <v>2700</v>
      </c>
      <c r="J43" s="30">
        <f t="shared" si="21"/>
        <v>3000</v>
      </c>
      <c r="K43" s="30">
        <f t="shared" si="21"/>
        <v>3000</v>
      </c>
      <c r="L43" s="30">
        <f t="shared" si="21"/>
        <v>3000</v>
      </c>
      <c r="M43" s="30">
        <f t="shared" si="21"/>
        <v>3750</v>
      </c>
      <c r="N43" s="30">
        <f t="shared" si="21"/>
        <v>3750</v>
      </c>
      <c r="O43" s="30">
        <f t="shared" si="21"/>
        <v>4500</v>
      </c>
      <c r="P43" s="30">
        <f t="shared" si="21"/>
        <v>5250</v>
      </c>
      <c r="Q43" s="30">
        <f t="shared" si="21"/>
        <v>6000</v>
      </c>
      <c r="R43" s="30">
        <f t="shared" si="21"/>
        <v>6750</v>
      </c>
      <c r="S43" s="11">
        <f>SUM(C43:R43)</f>
        <v>48300</v>
      </c>
    </row>
    <row r="44" spans="2:19" x14ac:dyDescent="0.25">
      <c r="B44" s="10" t="s">
        <v>74</v>
      </c>
      <c r="C44" s="30"/>
      <c r="D44" s="30">
        <f>D40*1000</f>
        <v>2000</v>
      </c>
      <c r="E44" s="30">
        <f>E40*1000</f>
        <v>6000</v>
      </c>
      <c r="F44" s="30">
        <f t="shared" ref="F44:R44" si="23">F40*1000</f>
        <v>10000</v>
      </c>
      <c r="G44" s="30">
        <f t="shared" si="23"/>
        <v>12000</v>
      </c>
      <c r="H44" s="30">
        <f t="shared" si="23"/>
        <v>12000</v>
      </c>
      <c r="I44" s="30">
        <f t="shared" si="23"/>
        <v>18000</v>
      </c>
      <c r="J44" s="30">
        <f t="shared" si="23"/>
        <v>20000</v>
      </c>
      <c r="K44" s="30">
        <f t="shared" si="23"/>
        <v>20000</v>
      </c>
      <c r="L44" s="30">
        <f t="shared" si="23"/>
        <v>20000</v>
      </c>
      <c r="M44" s="30">
        <f t="shared" si="23"/>
        <v>25000</v>
      </c>
      <c r="N44" s="30">
        <f t="shared" si="23"/>
        <v>25000</v>
      </c>
      <c r="O44" s="30">
        <f t="shared" si="23"/>
        <v>30000</v>
      </c>
      <c r="P44" s="30">
        <f t="shared" si="23"/>
        <v>35000</v>
      </c>
      <c r="Q44" s="30">
        <f t="shared" si="23"/>
        <v>40000</v>
      </c>
      <c r="R44" s="30">
        <f t="shared" si="23"/>
        <v>45000</v>
      </c>
      <c r="S44" s="11">
        <f>SUM(C44:R44)</f>
        <v>320000</v>
      </c>
    </row>
    <row r="45" spans="2:19" x14ac:dyDescent="0.25">
      <c r="B45" s="10" t="s">
        <v>75</v>
      </c>
      <c r="C45" s="30">
        <v>2500</v>
      </c>
      <c r="D45" s="30">
        <f>D40*2500</f>
        <v>5000</v>
      </c>
      <c r="E45" s="30">
        <f>E40*2500</f>
        <v>15000</v>
      </c>
      <c r="F45" s="30">
        <f t="shared" ref="F45:R45" si="24">(F40-E40)*2500</f>
        <v>10000</v>
      </c>
      <c r="G45" s="30">
        <f t="shared" si="24"/>
        <v>5000</v>
      </c>
      <c r="H45" s="30">
        <f t="shared" si="24"/>
        <v>0</v>
      </c>
      <c r="I45" s="30">
        <f t="shared" si="24"/>
        <v>15000</v>
      </c>
      <c r="J45" s="30">
        <f t="shared" si="24"/>
        <v>5000</v>
      </c>
      <c r="K45" s="30">
        <f t="shared" si="24"/>
        <v>0</v>
      </c>
      <c r="L45" s="30">
        <f t="shared" si="24"/>
        <v>0</v>
      </c>
      <c r="M45" s="30">
        <f t="shared" si="24"/>
        <v>12500</v>
      </c>
      <c r="N45" s="30">
        <f t="shared" si="24"/>
        <v>0</v>
      </c>
      <c r="O45" s="30">
        <f t="shared" si="24"/>
        <v>12500</v>
      </c>
      <c r="P45" s="30">
        <f t="shared" si="24"/>
        <v>12500</v>
      </c>
      <c r="Q45" s="30">
        <f t="shared" si="24"/>
        <v>12500</v>
      </c>
      <c r="R45" s="30">
        <f t="shared" si="24"/>
        <v>12500</v>
      </c>
      <c r="S45" s="11">
        <f>SUM(C45:R45)</f>
        <v>120000</v>
      </c>
    </row>
    <row r="46" spans="2:19" ht="15.75" x14ac:dyDescent="0.25">
      <c r="B46" s="51" t="s">
        <v>23</v>
      </c>
      <c r="C46" s="37"/>
      <c r="D46" s="37"/>
      <c r="E46" s="38"/>
      <c r="F46" s="38"/>
      <c r="G46" s="38"/>
      <c r="H46" s="38"/>
      <c r="I46" s="38"/>
      <c r="J46" s="38"/>
      <c r="K46" s="38"/>
      <c r="L46" s="38"/>
      <c r="M46" s="38"/>
      <c r="N46" s="37"/>
      <c r="O46" s="38"/>
      <c r="P46" s="38"/>
      <c r="Q46" s="38"/>
      <c r="R46" s="88"/>
      <c r="S46" s="69"/>
    </row>
    <row r="47" spans="2:19" x14ac:dyDescent="0.25">
      <c r="B47" s="10" t="s">
        <v>76</v>
      </c>
      <c r="C47" s="30">
        <f>C40*1100</f>
        <v>2200</v>
      </c>
      <c r="D47" s="30">
        <f>D40*1100</f>
        <v>2200</v>
      </c>
      <c r="E47" s="30">
        <f>(E40-C40)*1100</f>
        <v>4400</v>
      </c>
      <c r="F47" s="30">
        <f t="shared" ref="F47:R47" si="25">(F40-E40)*1100</f>
        <v>4400</v>
      </c>
      <c r="G47" s="30">
        <f t="shared" si="25"/>
        <v>2200</v>
      </c>
      <c r="H47" s="30">
        <f t="shared" si="25"/>
        <v>0</v>
      </c>
      <c r="I47" s="30">
        <f t="shared" si="25"/>
        <v>6600</v>
      </c>
      <c r="J47" s="30">
        <f t="shared" si="25"/>
        <v>2200</v>
      </c>
      <c r="K47" s="30">
        <f t="shared" si="25"/>
        <v>0</v>
      </c>
      <c r="L47" s="30">
        <f t="shared" si="25"/>
        <v>0</v>
      </c>
      <c r="M47" s="30">
        <f t="shared" si="25"/>
        <v>5500</v>
      </c>
      <c r="N47" s="30">
        <f t="shared" si="25"/>
        <v>0</v>
      </c>
      <c r="O47" s="30">
        <f t="shared" si="25"/>
        <v>5500</v>
      </c>
      <c r="P47" s="30">
        <f t="shared" si="25"/>
        <v>5500</v>
      </c>
      <c r="Q47" s="30">
        <f t="shared" si="25"/>
        <v>5500</v>
      </c>
      <c r="R47" s="30">
        <f t="shared" si="25"/>
        <v>5500</v>
      </c>
      <c r="S47" s="11">
        <f>SUM(C47:R47)</f>
        <v>51700</v>
      </c>
    </row>
    <row r="48" spans="2:19" ht="15.75" x14ac:dyDescent="0.25">
      <c r="B48" s="51" t="s">
        <v>24</v>
      </c>
      <c r="C48" s="37"/>
      <c r="D48" s="37"/>
      <c r="E48" s="38"/>
      <c r="F48" s="38"/>
      <c r="G48" s="38"/>
      <c r="H48" s="38"/>
      <c r="I48" s="38"/>
      <c r="J48" s="38"/>
      <c r="K48" s="38"/>
      <c r="L48" s="38"/>
      <c r="M48" s="38"/>
      <c r="N48" s="37"/>
      <c r="O48" s="38"/>
      <c r="P48" s="38"/>
      <c r="Q48" s="38"/>
      <c r="R48" s="88"/>
      <c r="S48" s="69"/>
    </row>
    <row r="49" spans="2:19" s="17" customFormat="1" ht="15" customHeight="1" x14ac:dyDescent="0.2">
      <c r="B49" s="10" t="s">
        <v>77</v>
      </c>
      <c r="C49" s="30">
        <f t="shared" ref="C49:R49" si="26">C25*0.02</f>
        <v>0</v>
      </c>
      <c r="D49" s="30">
        <f t="shared" si="26"/>
        <v>6000</v>
      </c>
      <c r="E49" s="30">
        <f t="shared" si="26"/>
        <v>520.08000000000004</v>
      </c>
      <c r="F49" s="30">
        <f t="shared" si="26"/>
        <v>369.98</v>
      </c>
      <c r="G49" s="30">
        <f t="shared" si="26"/>
        <v>969.82</v>
      </c>
      <c r="H49" s="30">
        <f t="shared" si="26"/>
        <v>1592.6000000000001</v>
      </c>
      <c r="I49" s="30">
        <f t="shared" si="26"/>
        <v>2206.4</v>
      </c>
      <c r="J49" s="30">
        <f t="shared" si="26"/>
        <v>3182.5</v>
      </c>
      <c r="K49" s="30">
        <f t="shared" si="26"/>
        <v>4348.5</v>
      </c>
      <c r="L49" s="30">
        <f t="shared" si="26"/>
        <v>5816.04</v>
      </c>
      <c r="M49" s="30">
        <f t="shared" si="26"/>
        <v>9272.6</v>
      </c>
      <c r="N49" s="30">
        <f t="shared" si="26"/>
        <v>10348.700000000001</v>
      </c>
      <c r="O49" s="30">
        <f t="shared" si="26"/>
        <v>12879.2</v>
      </c>
      <c r="P49" s="30">
        <f t="shared" si="26"/>
        <v>17005.32</v>
      </c>
      <c r="Q49" s="30">
        <f t="shared" si="26"/>
        <v>23060.600000000002</v>
      </c>
      <c r="R49" s="30">
        <f t="shared" si="26"/>
        <v>27095.5</v>
      </c>
      <c r="S49" s="11">
        <f>SUM(C49:R49)</f>
        <v>124667.84</v>
      </c>
    </row>
    <row r="50" spans="2:19" s="16" customFormat="1" ht="15" customHeight="1" x14ac:dyDescent="0.2">
      <c r="B50" s="10" t="s">
        <v>78</v>
      </c>
      <c r="C50" s="30">
        <f t="shared" ref="C50:R50" si="27">C25*0.03</f>
        <v>0</v>
      </c>
      <c r="D50" s="30">
        <f t="shared" si="27"/>
        <v>9000</v>
      </c>
      <c r="E50" s="30">
        <f t="shared" si="27"/>
        <v>780.12</v>
      </c>
      <c r="F50" s="30">
        <f t="shared" si="27"/>
        <v>554.97</v>
      </c>
      <c r="G50" s="30">
        <f t="shared" si="27"/>
        <v>1454.73</v>
      </c>
      <c r="H50" s="30">
        <f t="shared" si="27"/>
        <v>2388.9</v>
      </c>
      <c r="I50" s="30">
        <f t="shared" si="27"/>
        <v>3309.6</v>
      </c>
      <c r="J50" s="30">
        <f t="shared" si="27"/>
        <v>4773.75</v>
      </c>
      <c r="K50" s="30">
        <f t="shared" si="27"/>
        <v>6522.75</v>
      </c>
      <c r="L50" s="30">
        <f t="shared" si="27"/>
        <v>8724.06</v>
      </c>
      <c r="M50" s="30">
        <f t="shared" si="27"/>
        <v>13908.9</v>
      </c>
      <c r="N50" s="30">
        <f t="shared" si="27"/>
        <v>15523.05</v>
      </c>
      <c r="O50" s="30">
        <f t="shared" si="27"/>
        <v>19318.8</v>
      </c>
      <c r="P50" s="30">
        <f t="shared" si="27"/>
        <v>25507.98</v>
      </c>
      <c r="Q50" s="30">
        <f t="shared" si="27"/>
        <v>34590.9</v>
      </c>
      <c r="R50" s="30">
        <f t="shared" si="27"/>
        <v>40643.25</v>
      </c>
      <c r="S50" s="11">
        <f>SUM(C50:R50)</f>
        <v>187001.76</v>
      </c>
    </row>
    <row r="51" spans="2:19" x14ac:dyDescent="0.25">
      <c r="B51" s="10" t="s">
        <v>79</v>
      </c>
      <c r="C51" s="63"/>
      <c r="D51" s="63"/>
      <c r="E51" s="30">
        <v>50000</v>
      </c>
      <c r="F51" s="30"/>
      <c r="G51" s="30"/>
      <c r="H51" s="30">
        <v>50000</v>
      </c>
      <c r="I51" s="30"/>
      <c r="J51" s="30"/>
      <c r="K51" s="30"/>
      <c r="L51" s="30">
        <v>50000</v>
      </c>
      <c r="M51" s="30"/>
      <c r="N51" s="30"/>
      <c r="O51" s="30"/>
      <c r="P51" s="30">
        <v>50000</v>
      </c>
      <c r="Q51" s="30"/>
      <c r="R51" s="30"/>
      <c r="S51" s="11">
        <f>SUM(C51:R51)</f>
        <v>200000</v>
      </c>
    </row>
    <row r="52" spans="2:19" x14ac:dyDescent="0.25">
      <c r="B52" s="10" t="s">
        <v>80</v>
      </c>
      <c r="C52" s="63"/>
      <c r="D52" s="63"/>
      <c r="E52" s="30"/>
      <c r="F52" s="30"/>
      <c r="G52" s="30"/>
      <c r="H52" s="30"/>
      <c r="I52" s="30"/>
      <c r="J52" s="30"/>
      <c r="K52" s="30"/>
      <c r="L52" s="30"/>
      <c r="M52" s="30"/>
      <c r="N52" s="30"/>
      <c r="O52" s="30"/>
      <c r="P52" s="30"/>
      <c r="Q52" s="30">
        <f>D21*2</f>
        <v>600000</v>
      </c>
      <c r="R52" s="30"/>
      <c r="S52" s="11">
        <f>SUM(C52:R52)</f>
        <v>600000</v>
      </c>
    </row>
    <row r="53" spans="2:19" ht="21.75" thickBot="1" x14ac:dyDescent="0.3">
      <c r="B53" s="57" t="s">
        <v>25</v>
      </c>
      <c r="C53" s="67">
        <f t="shared" ref="C53:R53" si="28">C29+C30+C31+C42+C43+C44+C45+C47+C49+C50+C51+C52+C33+C37+C38</f>
        <v>19000</v>
      </c>
      <c r="D53" s="67">
        <f t="shared" si="28"/>
        <v>73500</v>
      </c>
      <c r="E53" s="67">
        <f t="shared" si="28"/>
        <v>107061.04000000001</v>
      </c>
      <c r="F53" s="67">
        <f t="shared" si="28"/>
        <v>62709.740000000005</v>
      </c>
      <c r="G53" s="67">
        <f t="shared" si="28"/>
        <v>69607.66</v>
      </c>
      <c r="H53" s="67">
        <f t="shared" si="28"/>
        <v>155503.79999999999</v>
      </c>
      <c r="I53" s="67">
        <f t="shared" si="28"/>
        <v>118983.2</v>
      </c>
      <c r="J53" s="67">
        <f t="shared" si="28"/>
        <v>128572.5</v>
      </c>
      <c r="K53" s="67">
        <f t="shared" si="28"/>
        <v>136530.5</v>
      </c>
      <c r="L53" s="67">
        <f t="shared" si="28"/>
        <v>241608.52</v>
      </c>
      <c r="M53" s="67">
        <f t="shared" si="28"/>
        <v>246293.8</v>
      </c>
      <c r="N53" s="67">
        <f t="shared" si="28"/>
        <v>242283.1</v>
      </c>
      <c r="O53" s="67">
        <f t="shared" si="28"/>
        <v>334929.59999999998</v>
      </c>
      <c r="P53" s="67">
        <f t="shared" si="28"/>
        <v>494319.16</v>
      </c>
      <c r="Q53" s="67">
        <f t="shared" si="28"/>
        <v>1108787.8</v>
      </c>
      <c r="R53" s="67">
        <f t="shared" si="28"/>
        <v>581991.5</v>
      </c>
      <c r="S53" s="56">
        <f>SUM(C53:R53)</f>
        <v>4121681.9199999999</v>
      </c>
    </row>
    <row r="54" spans="2:19" ht="21.75" thickBot="1" x14ac:dyDescent="0.3">
      <c r="B54" s="19" t="s">
        <v>26</v>
      </c>
      <c r="C54" s="18">
        <f>C25-C53</f>
        <v>-19000</v>
      </c>
      <c r="D54" s="18">
        <f>D25-D53</f>
        <v>226500</v>
      </c>
      <c r="E54" s="18">
        <f>C54+(E25-E53)</f>
        <v>-100057.04000000001</v>
      </c>
      <c r="F54" s="18">
        <f t="shared" ref="F54:R54" si="29">E54+(F25-F53)</f>
        <v>-144267.78000000003</v>
      </c>
      <c r="G54" s="18">
        <f t="shared" si="29"/>
        <v>-165384.44000000003</v>
      </c>
      <c r="H54" s="18">
        <f t="shared" si="29"/>
        <v>-241258.24000000002</v>
      </c>
      <c r="I54" s="18">
        <f t="shared" si="29"/>
        <v>-249921.44</v>
      </c>
      <c r="J54" s="18">
        <f t="shared" si="29"/>
        <v>-219368.94</v>
      </c>
      <c r="K54" s="18">
        <f t="shared" si="29"/>
        <v>-138474.44</v>
      </c>
      <c r="L54" s="18">
        <f t="shared" si="29"/>
        <v>-89280.959999999992</v>
      </c>
      <c r="M54" s="18">
        <f t="shared" si="29"/>
        <v>128055.24000000002</v>
      </c>
      <c r="N54" s="18">
        <f t="shared" si="29"/>
        <v>403207.14</v>
      </c>
      <c r="O54" s="18">
        <f t="shared" si="29"/>
        <v>712237.54</v>
      </c>
      <c r="P54" s="18">
        <f t="shared" si="29"/>
        <v>1068184.3800000001</v>
      </c>
      <c r="Q54" s="18">
        <f t="shared" si="29"/>
        <v>1112426.58</v>
      </c>
      <c r="R54" s="18">
        <f t="shared" si="29"/>
        <v>1885210.08</v>
      </c>
      <c r="S54" s="25">
        <f>S25-S53</f>
        <v>1811710.08</v>
      </c>
    </row>
    <row r="58" spans="2:19" x14ac:dyDescent="0.25">
      <c r="S58" s="87"/>
    </row>
  </sheetData>
  <mergeCells count="2">
    <mergeCell ref="B1:S1"/>
    <mergeCell ref="B2:S2"/>
  </mergeCells>
  <printOptions horizontalCentered="1" verticalCentered="1"/>
  <pageMargins left="0.19685039370078741" right="0.19685039370078741" top="0.35433070866141736" bottom="0.35433070866141736" header="7.874015748031496E-2" footer="7.874015748031496E-2"/>
  <pageSetup paperSize="9" scale="69" orientation="landscape" horizontalDpi="4294967293" verticalDpi="4294967293" r:id="rId1"/>
  <ignoredErrors>
    <ignoredError sqref="O6:P6 Q6 M6 H6:J6 E35:O35" 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8"/>
  <sheetViews>
    <sheetView workbookViewId="0">
      <selection activeCell="D15" sqref="D15"/>
    </sheetView>
  </sheetViews>
  <sheetFormatPr defaultRowHeight="15" x14ac:dyDescent="0.25"/>
  <cols>
    <col min="1" max="1" width="4" customWidth="1"/>
    <col min="2" max="2" width="51" customWidth="1"/>
    <col min="3" max="3" width="20.42578125" style="20" customWidth="1"/>
    <col min="4" max="4" width="6.85546875" style="1" customWidth="1"/>
  </cols>
  <sheetData>
    <row r="1" spans="2:5" ht="45.75" customHeight="1" x14ac:dyDescent="0.25">
      <c r="B1" s="103" t="s">
        <v>10</v>
      </c>
      <c r="C1" s="103"/>
      <c r="D1" s="103"/>
      <c r="E1" s="103"/>
    </row>
    <row r="2" spans="2:5" ht="21" x14ac:dyDescent="0.35">
      <c r="B2" s="72" t="s">
        <v>27</v>
      </c>
    </row>
    <row r="3" spans="2:5" x14ac:dyDescent="0.25">
      <c r="B3" s="73"/>
    </row>
    <row r="5" spans="2:5" ht="15.75" x14ac:dyDescent="0.25">
      <c r="B5" s="97" t="s">
        <v>28</v>
      </c>
      <c r="C5" s="22" t="s">
        <v>1</v>
      </c>
    </row>
    <row r="7" spans="2:5" ht="15.75" x14ac:dyDescent="0.25">
      <c r="B7" s="74" t="s">
        <v>29</v>
      </c>
      <c r="C7" s="75">
        <v>502000000</v>
      </c>
      <c r="D7" s="76" t="s">
        <v>45</v>
      </c>
    </row>
    <row r="8" spans="2:5" x14ac:dyDescent="0.25">
      <c r="B8" s="39" t="s">
        <v>30</v>
      </c>
      <c r="C8" s="77">
        <v>73</v>
      </c>
      <c r="D8" s="78" t="s">
        <v>7</v>
      </c>
    </row>
    <row r="9" spans="2:5" x14ac:dyDescent="0.25">
      <c r="B9" s="39" t="s">
        <v>31</v>
      </c>
      <c r="C9" s="79">
        <v>37</v>
      </c>
      <c r="D9" s="78" t="s">
        <v>7</v>
      </c>
    </row>
    <row r="10" spans="2:5" x14ac:dyDescent="0.25">
      <c r="B10" s="39" t="s">
        <v>33</v>
      </c>
      <c r="C10" s="79">
        <v>25</v>
      </c>
      <c r="D10" s="78" t="s">
        <v>7</v>
      </c>
    </row>
    <row r="11" spans="2:5" ht="15.75" x14ac:dyDescent="0.25">
      <c r="B11" s="80" t="s">
        <v>34</v>
      </c>
      <c r="C11" s="21">
        <v>317000000</v>
      </c>
      <c r="D11" s="78" t="s">
        <v>45</v>
      </c>
    </row>
    <row r="12" spans="2:5" x14ac:dyDescent="0.25">
      <c r="B12" s="39" t="s">
        <v>32</v>
      </c>
      <c r="C12" s="79">
        <v>78.3</v>
      </c>
      <c r="D12" s="78" t="s">
        <v>7</v>
      </c>
    </row>
    <row r="13" spans="2:5" x14ac:dyDescent="0.25">
      <c r="B13" s="39" t="s">
        <v>31</v>
      </c>
      <c r="C13" s="79">
        <v>53</v>
      </c>
      <c r="D13" s="78" t="s">
        <v>7</v>
      </c>
    </row>
    <row r="14" spans="2:5" x14ac:dyDescent="0.25">
      <c r="B14" s="39" t="s">
        <v>33</v>
      </c>
      <c r="C14" s="79">
        <v>25</v>
      </c>
      <c r="D14" s="78" t="s">
        <v>7</v>
      </c>
    </row>
    <row r="15" spans="2:5" x14ac:dyDescent="0.25">
      <c r="B15" s="39" t="s">
        <v>37</v>
      </c>
      <c r="C15" s="79" t="s">
        <v>5</v>
      </c>
      <c r="D15" s="78" t="s">
        <v>6</v>
      </c>
    </row>
    <row r="16" spans="2:5" x14ac:dyDescent="0.25">
      <c r="B16" s="39" t="s">
        <v>35</v>
      </c>
      <c r="C16" s="79" t="s">
        <v>4</v>
      </c>
      <c r="D16" s="78" t="s">
        <v>6</v>
      </c>
    </row>
    <row r="17" spans="2:4" x14ac:dyDescent="0.25">
      <c r="B17" s="81" t="s">
        <v>36</v>
      </c>
      <c r="C17" s="79" t="s">
        <v>3</v>
      </c>
      <c r="D17" s="78" t="s">
        <v>6</v>
      </c>
    </row>
    <row r="18" spans="2:4" x14ac:dyDescent="0.25">
      <c r="B18" s="82" t="s">
        <v>38</v>
      </c>
      <c r="C18" s="83">
        <v>0.04</v>
      </c>
      <c r="D18" s="84"/>
    </row>
    <row r="21" spans="2:4" ht="18.75" x14ac:dyDescent="0.3">
      <c r="B21" s="104" t="s">
        <v>39</v>
      </c>
      <c r="C21" s="105"/>
      <c r="D21" s="106"/>
    </row>
    <row r="22" spans="2:4" ht="24.75" customHeight="1" x14ac:dyDescent="0.25">
      <c r="B22" s="85" t="s">
        <v>40</v>
      </c>
      <c r="C22" s="100">
        <v>0.79</v>
      </c>
      <c r="D22" s="100"/>
    </row>
    <row r="23" spans="2:4" x14ac:dyDescent="0.25">
      <c r="B23" s="85" t="s">
        <v>41</v>
      </c>
      <c r="C23" s="100">
        <v>0.56999999999999995</v>
      </c>
      <c r="D23" s="100"/>
    </row>
    <row r="24" spans="2:4" x14ac:dyDescent="0.25">
      <c r="B24" s="85" t="s">
        <v>42</v>
      </c>
      <c r="C24" s="100">
        <v>0.18</v>
      </c>
      <c r="D24" s="100"/>
    </row>
    <row r="25" spans="2:4" x14ac:dyDescent="0.25">
      <c r="B25" s="85" t="s">
        <v>43</v>
      </c>
      <c r="C25" s="100">
        <v>0.4</v>
      </c>
      <c r="D25" s="100"/>
    </row>
    <row r="26" spans="2:4" x14ac:dyDescent="0.25">
      <c r="B26" s="86" t="s">
        <v>0</v>
      </c>
      <c r="C26" s="101" t="s">
        <v>44</v>
      </c>
      <c r="D26" s="102"/>
    </row>
    <row r="28" spans="2:4" x14ac:dyDescent="0.25">
      <c r="B28" s="23" t="s">
        <v>2</v>
      </c>
    </row>
  </sheetData>
  <mergeCells count="7">
    <mergeCell ref="C24:D24"/>
    <mergeCell ref="C25:D25"/>
    <mergeCell ref="C26:D26"/>
    <mergeCell ref="B1:E1"/>
    <mergeCell ref="C22:D22"/>
    <mergeCell ref="B21:D21"/>
    <mergeCell ref="C23:D23"/>
  </mergeCells>
  <hyperlinks>
    <hyperlink ref="B28" r:id="rId1"/>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2</vt:i4>
      </vt:variant>
    </vt:vector>
  </HeadingPairs>
  <TitlesOfParts>
    <vt:vector size="2" baseType="lpstr">
      <vt:lpstr>1st fiscal year</vt:lpstr>
      <vt:lpstr>Introduction of the market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Yarlath</dc:creator>
  <cp:lastModifiedBy>Y</cp:lastModifiedBy>
  <cp:lastPrinted>2014-03-19T09:00:39Z</cp:lastPrinted>
  <dcterms:created xsi:type="dcterms:W3CDTF">2010-09-16T07:41:32Z</dcterms:created>
  <dcterms:modified xsi:type="dcterms:W3CDTF">2026-02-22T19:36:02Z</dcterms:modified>
</cp:coreProperties>
</file>