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SynChrono\!\. n o t e s\PROJEKTEK\Owatep\"/>
    </mc:Choice>
  </mc:AlternateContent>
  <bookViews>
    <workbookView xWindow="0" yWindow="-30" windowWidth="2835" windowHeight="1380"/>
  </bookViews>
  <sheets>
    <sheet name="Owatep" sheetId="1" r:id="rId1"/>
    <sheet name="Comparison" sheetId="5" r:id="rId2"/>
    <sheet name="Comparison 2" sheetId="13" r:id="rId3"/>
    <sheet name="Radio" sheetId="2" r:id="rId4"/>
    <sheet name="Q" sheetId="3" r:id="rId5"/>
    <sheet name="Links" sheetId="4" r:id="rId6"/>
    <sheet name="Víz" sheetId="10" r:id="rId7"/>
    <sheet name="Hűtőborda" sheetId="7" r:id="rId8"/>
    <sheet name="Hóágyú" sheetId="8" r:id="rId9"/>
    <sheet name="Peltier" sheetId="9" r:id="rId10"/>
    <sheet name="Hűtőkémény" sheetId="11" r:id="rId11"/>
    <sheet name="Freezing comparison" sheetId="12" r:id="rId12"/>
  </sheets>
  <calcPr calcId="162913"/>
</workbook>
</file>

<file path=xl/calcChain.xml><?xml version="1.0" encoding="utf-8"?>
<calcChain xmlns="http://schemas.openxmlformats.org/spreadsheetml/2006/main">
  <c r="B13" i="12" l="1"/>
  <c r="B11" i="7"/>
  <c r="B7" i="7"/>
  <c r="B6" i="7"/>
  <c r="B3" i="7"/>
  <c r="B10" i="7"/>
  <c r="F12" i="7"/>
  <c r="F11" i="7"/>
  <c r="B6" i="8"/>
  <c r="B31" i="7" l="1"/>
  <c r="B29" i="7"/>
  <c r="H10" i="10"/>
  <c r="E10" i="10"/>
  <c r="I10" i="10" s="1"/>
  <c r="J10" i="10" s="1"/>
  <c r="H9" i="10"/>
  <c r="E9" i="10"/>
  <c r="I9" i="10" s="1"/>
  <c r="J9" i="10" s="1"/>
  <c r="H8" i="10"/>
  <c r="E8" i="10"/>
  <c r="I8" i="10" s="1"/>
  <c r="J8" i="10" s="1"/>
  <c r="H7" i="10"/>
  <c r="E7" i="10"/>
  <c r="I7" i="10" s="1"/>
  <c r="J7" i="10" s="1"/>
  <c r="L6" i="10"/>
  <c r="H6" i="10"/>
  <c r="E6" i="10"/>
  <c r="I6" i="10" s="1"/>
  <c r="J6" i="10" s="1"/>
  <c r="F1" i="12" l="1"/>
  <c r="B11" i="8"/>
  <c r="F2" i="12"/>
  <c r="B12" i="8"/>
  <c r="B7" i="9" l="1"/>
  <c r="B14" i="8"/>
  <c r="B15" i="8" s="1"/>
  <c r="C12" i="12" s="1"/>
  <c r="B18" i="8"/>
  <c r="B20" i="8" s="1"/>
  <c r="C13" i="12" s="1"/>
  <c r="B8" i="9"/>
  <c r="B13" i="8"/>
  <c r="B9" i="9" s="1"/>
  <c r="B33" i="7"/>
  <c r="L4" i="1"/>
  <c r="B8" i="7"/>
  <c r="B16" i="8" l="1"/>
  <c r="B9" i="7"/>
  <c r="J6" i="7"/>
  <c r="J8" i="7" s="1"/>
  <c r="J3" i="7"/>
  <c r="J2" i="7"/>
  <c r="F6" i="7"/>
  <c r="F8" i="7" s="1"/>
  <c r="B38" i="7" s="1"/>
  <c r="B39" i="7" s="1"/>
  <c r="B40" i="7" s="1"/>
  <c r="B21" i="7" l="1"/>
  <c r="B22" i="7" s="1"/>
  <c r="B23" i="7" s="1"/>
  <c r="B26" i="7"/>
  <c r="B25" i="7"/>
  <c r="B27" i="7" s="1"/>
  <c r="B30" i="7" l="1"/>
  <c r="B12" i="12" s="1"/>
  <c r="B32" i="7"/>
  <c r="B42" i="7"/>
  <c r="D40" i="1"/>
  <c r="B34" i="7" l="1"/>
  <c r="B35" i="7" s="1"/>
  <c r="D41" i="1"/>
  <c r="C42" i="1" l="1"/>
  <c r="E30" i="1"/>
  <c r="C14" i="1"/>
  <c r="C13" i="1"/>
  <c r="L5" i="1" l="1"/>
  <c r="L7" i="1" l="1"/>
  <c r="E7" i="1" s="1"/>
  <c r="C18" i="1" s="1"/>
  <c r="E14" i="1"/>
  <c r="U5" i="1" l="1"/>
  <c r="V5" i="1" s="1"/>
  <c r="E13" i="1" l="1"/>
  <c r="E15" i="1" l="1"/>
  <c r="C15" i="1"/>
  <c r="E18" i="1"/>
  <c r="C16" i="1" l="1"/>
  <c r="C20" i="1"/>
  <c r="E19" i="1"/>
  <c r="C19" i="1"/>
  <c r="E16" i="1"/>
  <c r="E20" i="1"/>
  <c r="E9" i="1" s="1"/>
  <c r="C21" i="1" l="1"/>
  <c r="E21" i="1"/>
  <c r="E17" i="1"/>
  <c r="E36" i="1" s="1"/>
  <c r="C17" i="1"/>
  <c r="E23" i="1" l="1"/>
  <c r="E22" i="1"/>
  <c r="C22" i="1"/>
  <c r="C25" i="1" l="1"/>
  <c r="C26" i="1" s="1"/>
  <c r="C24" i="1"/>
  <c r="C23" i="1"/>
  <c r="E25" i="1"/>
  <c r="E26" i="1" s="1"/>
  <c r="D11" i="12" s="1"/>
  <c r="B2" i="9" s="1"/>
  <c r="B10" i="9" s="1"/>
  <c r="E24" i="1"/>
  <c r="D12" i="12" l="1"/>
  <c r="B13" i="9"/>
  <c r="B15" i="9" s="1"/>
  <c r="D13" i="12" s="1"/>
  <c r="B11" i="9"/>
  <c r="C3" i="2"/>
  <c r="L10" i="1"/>
  <c r="L13" i="1" l="1"/>
  <c r="L14" i="1"/>
  <c r="L11" i="1"/>
  <c r="L12" i="1" s="1"/>
  <c r="L17" i="1" l="1"/>
  <c r="L16" i="1"/>
  <c r="L19" i="1" s="1"/>
  <c r="L20" i="1" s="1"/>
  <c r="D43" i="1" l="1"/>
  <c r="E44" i="1" s="1"/>
</calcChain>
</file>

<file path=xl/sharedStrings.xml><?xml version="1.0" encoding="utf-8"?>
<sst xmlns="http://schemas.openxmlformats.org/spreadsheetml/2006/main" count="766" uniqueCount="556">
  <si>
    <t>Ωm</t>
  </si>
  <si>
    <t>m</t>
  </si>
  <si>
    <t>m2</t>
  </si>
  <si>
    <t>Ω</t>
  </si>
  <si>
    <t>VK-1</t>
  </si>
  <si>
    <t>A</t>
  </si>
  <si>
    <t>V</t>
  </si>
  <si>
    <t>mA</t>
  </si>
  <si>
    <t>W</t>
  </si>
  <si>
    <t>µW</t>
  </si>
  <si>
    <t>m3</t>
  </si>
  <si>
    <t>kg/m3</t>
  </si>
  <si>
    <t>kg</t>
  </si>
  <si>
    <t>mW</t>
  </si>
  <si>
    <t>Material</t>
  </si>
  <si>
    <t>Selenium</t>
  </si>
  <si>
    <t>Tellurium</t>
  </si>
  <si>
    <t>Silicon</t>
  </si>
  <si>
    <t>Germanium</t>
  </si>
  <si>
    <t>Antimony</t>
  </si>
  <si>
    <t>Nichrome</t>
  </si>
  <si>
    <t>Molybdenum</t>
  </si>
  <si>
    <t>Rhodium</t>
  </si>
  <si>
    <t>Tantalum</t>
  </si>
  <si>
    <t>Lead</t>
  </si>
  <si>
    <t>Aluminium</t>
  </si>
  <si>
    <t>Carbon</t>
  </si>
  <si>
    <t>Mercury</t>
  </si>
  <si>
    <t>Platinum</t>
  </si>
  <si>
    <t>Sodium</t>
  </si>
  <si>
    <t>Potassium</t>
  </si>
  <si>
    <t>Nickel</t>
  </si>
  <si>
    <t>Constantan</t>
  </si>
  <si>
    <t>Bismuth</t>
  </si>
  <si>
    <t>http://en.wikipedia.org/wiki/Seebeck_coefficient</t>
  </si>
  <si>
    <t>Silver</t>
  </si>
  <si>
    <t>Copper</t>
  </si>
  <si>
    <t>Gold</t>
  </si>
  <si>
    <t>Tungsten</t>
  </si>
  <si>
    <t>Cadmium</t>
  </si>
  <si>
    <t>mm</t>
  </si>
  <si>
    <t>http://www.electronics-cooling.com/2006/11/the-seebeck-coefficient/</t>
  </si>
  <si>
    <t>ftp://ftp.energia.bme.hu/pub/bsc/4Termoelem-homerok1.pdf</t>
  </si>
  <si>
    <t>Ft / KWh</t>
  </si>
  <si>
    <t>Ft</t>
  </si>
  <si>
    <t>Parabola antenna tányér átmérője</t>
  </si>
  <si>
    <t>cm</t>
  </si>
  <si>
    <t>Antenna paraméterek</t>
  </si>
  <si>
    <t>Antenna számított értékek</t>
  </si>
  <si>
    <t>Dipol antenna hossza (egy pár bronz helix)</t>
  </si>
  <si>
    <t>Tisztázott kérdések:</t>
  </si>
  <si>
    <t>A parazita feszültség nem jelent problémát, kompenzálás nem szükséges</t>
  </si>
  <si>
    <t>Nem hatékony feltranszformálni a feszültségeket</t>
  </si>
  <si>
    <t>Antenna nyereség</t>
  </si>
  <si>
    <t>dB</t>
  </si>
  <si>
    <t>Kisugárzott teljesítmény</t>
  </si>
  <si>
    <t>A BME doksiban egy pédán 5 fémet használ termoelemhez</t>
  </si>
  <si>
    <t>Szürke szelén? (fémekre hasonlít, fényben jobb vezető, felső pont)</t>
  </si>
  <si>
    <t>Nyaki részen feltranszformálunk?</t>
  </si>
  <si>
    <t>Ha a szelén arannyal érintkezik, akkor megvilágítás hatására a fényerősséggel arányos erősségű áramot termel. </t>
  </si>
  <si>
    <t>Félvezetők?</t>
  </si>
  <si>
    <t>Parazita feszültségek - kiegyenlítés?</t>
  </si>
  <si>
    <t>No problem, hullámzó lesz a kimenő teljesítmény</t>
  </si>
  <si>
    <t>Nagyobb lenne a veszteség</t>
  </si>
  <si>
    <t>Tippek, trükkök</t>
  </si>
  <si>
    <t>Tisztázandó Kérdések</t>
  </si>
  <si>
    <t>Vízhőszonda fejegység</t>
  </si>
  <si>
    <t>Fejegység átlagos teljesítménye</t>
  </si>
  <si>
    <t>µV/K</t>
  </si>
  <si>
    <t>http://www.omega.com/temperature/Z/pdf/z049-050.pdf</t>
  </si>
  <si>
    <t>Hasznos linkek</t>
  </si>
  <si>
    <t>Ft / db</t>
  </si>
  <si>
    <t>PbTe</t>
  </si>
  <si>
    <t>Seebeck Coefficients for Some Semiconductors</t>
  </si>
  <si>
    <t>graphene film with high electrical conductivity (1738 siemens per meter)</t>
  </si>
  <si>
    <t>Resistivity</t>
  </si>
  <si>
    <t>p(Ω•m) at 20°C</t>
  </si>
  <si>
    <t>Conductivity</t>
  </si>
  <si>
    <t>σ(S/m) at 20°C</t>
  </si>
  <si>
    <t>1.59x10-8</t>
  </si>
  <si>
    <t>6.30x107</t>
  </si>
  <si>
    <t>1.68x10-8</t>
  </si>
  <si>
    <t>5.98x107</t>
  </si>
  <si>
    <t>Annealed Copper</t>
  </si>
  <si>
    <t>1.72x10-8</t>
  </si>
  <si>
    <t>5.80x107</t>
  </si>
  <si>
    <t>2.44x10-8</t>
  </si>
  <si>
    <t>4.52x107</t>
  </si>
  <si>
    <t>Aluminum</t>
  </si>
  <si>
    <t>2.82x10-8</t>
  </si>
  <si>
    <t>3.5x107</t>
  </si>
  <si>
    <t>Calcium</t>
  </si>
  <si>
    <t>3.36x10-8</t>
  </si>
  <si>
    <t>2.82x107</t>
  </si>
  <si>
    <t>Beryllium</t>
  </si>
  <si>
    <t>4.00x10-8</t>
  </si>
  <si>
    <t>2.500x107</t>
  </si>
  <si>
    <t>4.49x10-8</t>
  </si>
  <si>
    <t>2.23x107</t>
  </si>
  <si>
    <t>Magnesium</t>
  </si>
  <si>
    <t>4.66x10-8</t>
  </si>
  <si>
    <t>2.15x107</t>
  </si>
  <si>
    <t>5.225x10-8</t>
  </si>
  <si>
    <t>1.914x107</t>
  </si>
  <si>
    <t>Iridium</t>
  </si>
  <si>
    <t>5.289x10-8</t>
  </si>
  <si>
    <t>1.891x107</t>
  </si>
  <si>
    <t>5.49x10-8</t>
  </si>
  <si>
    <t>1.82x107</t>
  </si>
  <si>
    <t>Zinc</t>
  </si>
  <si>
    <t>5.945x10-8</t>
  </si>
  <si>
    <t>1.682x107</t>
  </si>
  <si>
    <t>Cobalt</t>
  </si>
  <si>
    <t>6.25x10-8</t>
  </si>
  <si>
    <t>1.60x107</t>
  </si>
  <si>
    <t>6.84x10-8</t>
  </si>
  <si>
    <t>Nickel (electrolytic)</t>
  </si>
  <si>
    <t>1.46x107</t>
  </si>
  <si>
    <t>Ruthenium</t>
  </si>
  <si>
    <t>7.595x10-8</t>
  </si>
  <si>
    <t>1.31x107</t>
  </si>
  <si>
    <t>Lithium</t>
  </si>
  <si>
    <t>8.54x10-8</t>
  </si>
  <si>
    <t>1.17x107</t>
  </si>
  <si>
    <t>Iron</t>
  </si>
  <si>
    <t>9.58x10-8</t>
  </si>
  <si>
    <t>1.04x107</t>
  </si>
  <si>
    <t>1.06x10-7</t>
  </si>
  <si>
    <t>9.44x106</t>
  </si>
  <si>
    <t>Palladium</t>
  </si>
  <si>
    <t>1.08x10-7</t>
  </si>
  <si>
    <t>9.28x106</t>
  </si>
  <si>
    <t>Tin</t>
  </si>
  <si>
    <t>1.15x10-7</t>
  </si>
  <si>
    <t>8.7x106</t>
  </si>
  <si>
    <t>1.197x10-7</t>
  </si>
  <si>
    <t>8.35x106</t>
  </si>
  <si>
    <t>1.24x10-7</t>
  </si>
  <si>
    <t>8.06x106</t>
  </si>
  <si>
    <t>Niobium</t>
  </si>
  <si>
    <t>1.31x10-7</t>
  </si>
  <si>
    <t>7.66x106</t>
  </si>
  <si>
    <t>Steel (Cast)</t>
  </si>
  <si>
    <t>1.61x10-7</t>
  </si>
  <si>
    <t>6.21x106</t>
  </si>
  <si>
    <t>Chromium</t>
  </si>
  <si>
    <t>1.96x10-7</t>
  </si>
  <si>
    <t>5.10x106</t>
  </si>
  <si>
    <t>2.05x10-7</t>
  </si>
  <si>
    <t>4.87x106</t>
  </si>
  <si>
    <t>Vanadium</t>
  </si>
  <si>
    <t>2.61x10-7</t>
  </si>
  <si>
    <t>3.83x106</t>
  </si>
  <si>
    <t>Uranium</t>
  </si>
  <si>
    <t>2.87x10-7</t>
  </si>
  <si>
    <t>3.48x106</t>
  </si>
  <si>
    <t>Antimony*</t>
  </si>
  <si>
    <t>3.92x10-7</t>
  </si>
  <si>
    <t>2.55x106</t>
  </si>
  <si>
    <t>Zirconium</t>
  </si>
  <si>
    <t>4.105x10-7</t>
  </si>
  <si>
    <t>2.44x106</t>
  </si>
  <si>
    <t>Titanium</t>
  </si>
  <si>
    <t>5.56x10-7</t>
  </si>
  <si>
    <t>1.798x106</t>
  </si>
  <si>
    <t>9.58x10-7</t>
  </si>
  <si>
    <t>1.044x106</t>
  </si>
  <si>
    <t>Germanium*</t>
  </si>
  <si>
    <t>4.6x10-1</t>
  </si>
  <si>
    <t>Silicon*</t>
  </si>
  <si>
    <t>6.40x102</t>
  </si>
  <si>
    <t>1.56x10-3</t>
  </si>
  <si>
    <t>http://metals.about.com/od/properties/a/Electrical-Conductivity-In-Metals.htm</t>
  </si>
  <si>
    <t>J /s (W)</t>
  </si>
  <si>
    <t>PETG alkalmazása a rézvezeték körbefogására, laminálás</t>
  </si>
  <si>
    <t>Ellenállás és vezetőképesség</t>
  </si>
  <si>
    <t>http://en.wikipedia.org/wiki/Electrical_resistivity_and_conductivity</t>
  </si>
  <si>
    <r>
      <rPr>
        <b/>
        <sz val="8"/>
        <color theme="1"/>
        <rFont val="Calibri"/>
        <family val="2"/>
        <charset val="238"/>
      </rPr>
      <t>µ</t>
    </r>
    <r>
      <rPr>
        <b/>
        <sz val="8"/>
        <color theme="1"/>
        <rFont val="Calibri"/>
        <family val="2"/>
        <charset val="238"/>
        <scheme val="minor"/>
      </rPr>
      <t>VK-1</t>
    </r>
  </si>
  <si>
    <t>°K</t>
  </si>
  <si>
    <t>http://www.mpoweruk.com/thermoelectricity.htm</t>
  </si>
  <si>
    <t>Előnyös, RTG-k is ezt használják a mélyűrben</t>
  </si>
  <si>
    <t>Számoljunk-e Carnot hatékonysági %-ot?</t>
  </si>
  <si>
    <t>Alkalmas, de jobb a spec félvezető</t>
  </si>
  <si>
    <t>OWaTeP bekerülési ár / db</t>
  </si>
  <si>
    <t>Oceán Hőtartalom (OHC)</t>
  </si>
  <si>
    <t>http://en.wikipedia.org/wiki/Ocean_heat_content</t>
  </si>
  <si>
    <r>
      <t xml:space="preserve">Apály-dagály erőmű működése
Évszázadok óta folytatnak kísérleteket az árapály energiájának hasznosítására. A német tengerparton már a XII. században létesítettek dagálymalmokat, amelyeket a 19. században turbinák váltottak fel.
Az újabb erőműveket  természetes öblök szűk bejáratánál, vagy mesterségesen létesített medencékhez kapcsolódóan építették meg. Az árapály erőművek csak nagy teljesítmény esetén kifizetődőek, mivel igen magas a beruházási költségük. Ma már több 100 000 kW teljesítmény feletti erőmű létezik a Földön.
A franciaországi St. Malói-öbölben működő La Ranche erőmű a legelsők között épült meg 1966-ban, és </t>
    </r>
    <r>
      <rPr>
        <b/>
        <sz val="9"/>
        <color rgb="FFFF0000"/>
        <rFont val="Calibri"/>
        <family val="2"/>
        <charset val="238"/>
        <scheme val="minor"/>
      </rPr>
      <t>másodpercenként több mint 1000 tonna vizet használ fel, amivel összesen 240 megawatt teljesítményű turbinát működtet.</t>
    </r>
    <r>
      <rPr>
        <sz val="9"/>
        <color theme="1"/>
        <rFont val="Calibri"/>
        <family val="2"/>
        <charset val="238"/>
        <scheme val="minor"/>
      </rPr>
      <t xml:space="preserve">
A dagály-erőmű turbinája a gát alsó részében helyezkedik el, a dagályvízszint magasságában pedig zsilipeket építenek. Amikor megérkezik a dagályhullám, alul a turbinák előtt elzárják a víz útját, felül pedig kinyitják a zsilipeket és a gáttal elzárt öblöt feltöltik vízzel. Az apály kezdetekor lezárják a felső nyílásokat, majd a gát alsó részében elhelyezett turbinákon keresztül engedik vissza a vizet a tengerbe. http://www.sulinet.hu/tlabor/foldrajz/szoveg/r44.htm</t>
    </r>
  </si>
  <si>
    <r>
      <t>Egy </t>
    </r>
    <r>
      <rPr>
        <sz val="10"/>
        <color rgb="FF0B0080"/>
        <rFont val="Arial"/>
        <family val="2"/>
        <charset val="238"/>
      </rPr>
      <t>erőművi</t>
    </r>
    <r>
      <rPr>
        <sz val="10"/>
        <color rgb="FF000000"/>
        <rFont val="Arial"/>
        <family val="2"/>
        <charset val="238"/>
      </rPr>
      <t> </t>
    </r>
    <r>
      <rPr>
        <sz val="10"/>
        <color rgb="FF0B0080"/>
        <rFont val="Arial"/>
        <family val="2"/>
        <charset val="238"/>
      </rPr>
      <t>gőzturbina</t>
    </r>
    <r>
      <rPr>
        <sz val="10"/>
        <color rgb="FF000000"/>
        <rFont val="Arial"/>
        <family val="2"/>
        <charset val="238"/>
      </rPr>
      <t> teljesítménye 5×10</t>
    </r>
    <r>
      <rPr>
        <vertAlign val="superscript"/>
        <sz val="11"/>
        <color rgb="FF000000"/>
        <rFont val="Arial"/>
        <family val="2"/>
        <charset val="238"/>
      </rPr>
      <t>7</t>
    </r>
    <r>
      <rPr>
        <sz val="10"/>
        <color rgb="FF000000"/>
        <rFont val="Arial"/>
        <family val="2"/>
        <charset val="238"/>
      </rPr>
      <t>–5×10</t>
    </r>
    <r>
      <rPr>
        <vertAlign val="superscript"/>
        <sz val="11"/>
        <color rgb="FF000000"/>
        <rFont val="Arial"/>
        <family val="2"/>
        <charset val="238"/>
      </rPr>
      <t>8</t>
    </r>
    <r>
      <rPr>
        <sz val="10"/>
        <color rgb="FF000000"/>
        <rFont val="Arial"/>
        <family val="2"/>
        <charset val="238"/>
      </rPr>
      <t> watt (50 000–500 000 kilowatt, 50–500 megawatt), a legnagyobb épülő </t>
    </r>
    <r>
      <rPr>
        <sz val="10"/>
        <color rgb="FF0B0080"/>
        <rFont val="Arial"/>
        <family val="2"/>
        <charset val="238"/>
      </rPr>
      <t>vízerőmű</t>
    </r>
    <r>
      <rPr>
        <sz val="10"/>
        <color rgb="FF000000"/>
        <rFont val="Arial"/>
        <family val="2"/>
        <charset val="238"/>
      </rPr>
      <t>, a </t>
    </r>
    <r>
      <rPr>
        <sz val="10"/>
        <color rgb="FF0B0080"/>
        <rFont val="Arial"/>
        <family val="2"/>
        <charset val="238"/>
      </rPr>
      <t>kínaiHárom-szoros gát</t>
    </r>
    <r>
      <rPr>
        <sz val="10"/>
        <color rgb="FF000000"/>
        <rFont val="Arial"/>
        <family val="2"/>
        <charset val="238"/>
      </rPr>
      <t> összteljesítménye 2,25×10</t>
    </r>
    <r>
      <rPr>
        <vertAlign val="superscript"/>
        <sz val="11"/>
        <color rgb="FF000000"/>
        <rFont val="Arial"/>
        <family val="2"/>
        <charset val="238"/>
      </rPr>
      <t>10</t>
    </r>
    <r>
      <rPr>
        <sz val="10"/>
        <color rgb="FF000000"/>
        <rFont val="Arial"/>
        <family val="2"/>
        <charset val="238"/>
      </rPr>
      <t> watt, azaz 22 500 megawatt lesz. http://hu.wikipedia.org/wiki/Watt_(m%C3%A9rt%C3%A9kegys%C3%A9g)</t>
    </r>
  </si>
  <si>
    <t>http://www.gyakorikerdesek.hu/tudomanyok__egyeb-kerdesek__1843490-mi-a-kulonbseg-a-mw-es-a-mwh-kozott</t>
  </si>
  <si>
    <t>AA akkuméret: 14.5×50.5 mm
súly: kb.30 g
névleges feszültség: 1.2 V
töltési végfeszültség: 1.5 V
kapacitás: 2000-3000 mAh
élettartam: kb. 1000 töltési ciklus</t>
  </si>
  <si>
    <t xml:space="preserve">Iron </t>
  </si>
  <si>
    <t>MJ</t>
  </si>
  <si>
    <t xml:space="preserve">J </t>
  </si>
  <si>
    <t>Felhasznált réz ára / db (700 Ft / kg)</t>
  </si>
  <si>
    <t>Miközben idehaza hivatalosan és szakmai megfontolásból is csak a fanyalgásig jut el a magyar energetika, Németországban július 7-én egy ideig a teljes országos energiaigény 40 (!) százalékát a minimális fenntartási és üzemeltetési költségű szolárcellákból állították elő. Az új rekord: 23,9 GW, – ami majdnem 12 paksi atomerőmű teljesítményének felel meg.</t>
  </si>
  <si>
    <t>http://www.gatibasolar.hu/Hirek-alap/2014-01-22/Brutalis-rekorddal-sokkol-a-nemet-napenergia-termeles</t>
  </si>
  <si>
    <t>1 paksi blokk: 500MW</t>
  </si>
  <si>
    <t>Paks: 2400MW bővítés 3000Mrd Ft</t>
  </si>
  <si>
    <t>Ivanpah, California: 3x140m oszlop, 300.000 x 6nm tükör, 1600ha, 392MW. = 500Mrd Ft</t>
  </si>
  <si>
    <t>Szolnoki naperőmű: 1894db Kyocera 345Wp napelem, 21db SMA inverter, 0,46MW = 341MFt</t>
  </si>
  <si>
    <t>Egy 100nm lakás téli fűtési energiaigénye ~6 GigaJoule, 1,6MWh</t>
  </si>
  <si>
    <t>MWh</t>
  </si>
  <si>
    <t>1M OWaTeP gyártási költsége</t>
  </si>
  <si>
    <t>1M OWaTeP járulékos költségei</t>
  </si>
  <si>
    <t>1M OWaTeP összes költsége</t>
  </si>
  <si>
    <t>év</t>
  </si>
  <si>
    <t>Value</t>
  </si>
  <si>
    <t>Sci.value</t>
  </si>
  <si>
    <t>Energy subtraction efficiency</t>
  </si>
  <si>
    <t>Metals</t>
  </si>
  <si>
    <r>
      <t xml:space="preserve">Seebeck quotient measured to platinum </t>
    </r>
    <r>
      <rPr>
        <b/>
        <sz val="8"/>
        <color theme="1"/>
        <rFont val="Calibri"/>
        <family val="2"/>
        <charset val="238"/>
        <scheme val="minor"/>
      </rPr>
      <t>(μV/K)</t>
    </r>
  </si>
  <si>
    <t>Conductance (resistance)</t>
  </si>
  <si>
    <t>Diameter of wire</t>
  </si>
  <si>
    <t>Length of Owatep tails (circuits)</t>
  </si>
  <si>
    <t xml:space="preserve">Metal 1. </t>
  </si>
  <si>
    <t xml:space="preserve">Metal 2. </t>
  </si>
  <si>
    <t>Specific Thermoelectric Potential</t>
  </si>
  <si>
    <t>Wire material density</t>
  </si>
  <si>
    <t>hours</t>
  </si>
  <si>
    <t>Length of wire</t>
  </si>
  <si>
    <t>Wire intersection</t>
  </si>
  <si>
    <t>Wire volumetric</t>
  </si>
  <si>
    <t>Wire mass</t>
  </si>
  <si>
    <t>Specific thermoelectric potential</t>
  </si>
  <si>
    <t>Thermoelectric potential</t>
  </si>
  <si>
    <t>Wire resistance</t>
  </si>
  <si>
    <t>Amperage (A)</t>
  </si>
  <si>
    <t>Amperage (mA)</t>
  </si>
  <si>
    <t>Power on a tail (W)</t>
  </si>
  <si>
    <t>Power on a tail (µW)</t>
  </si>
  <si>
    <t>Power on a tail (mW)</t>
  </si>
  <si>
    <t>Full power efficiency of an Owatep (mW)</t>
  </si>
  <si>
    <t>Efficiency calculations - variables</t>
  </si>
  <si>
    <t>Daylight hours</t>
  </si>
  <si>
    <t>Night hours</t>
  </si>
  <si>
    <t xml:space="preserve">Night hours performance divider </t>
  </si>
  <si>
    <t>Outbound performance ratio on radio antenna (dBi)</t>
  </si>
  <si>
    <t>Thermoelectric potential difference</t>
  </si>
  <si>
    <t>Temperature difference between hot and cold point of the circuit</t>
  </si>
  <si>
    <t>Wire diameter</t>
  </si>
  <si>
    <t>Number of circuits in the Owatep</t>
  </si>
  <si>
    <t>1M Owatep - Energy harvested in 1 year:</t>
  </si>
  <si>
    <t>392 MW</t>
  </si>
  <si>
    <t>2400 MW</t>
  </si>
  <si>
    <t>Solar Power Plant (Ivanpah, USA)</t>
  </si>
  <si>
    <t>Building Time</t>
  </si>
  <si>
    <t>circuits</t>
  </si>
  <si>
    <t>1 Owatep unit's energy subtraction / s</t>
  </si>
  <si>
    <t>1 000 Owateps energy subtraction / s</t>
  </si>
  <si>
    <t>1M Owateps energy subtraction / s</t>
  </si>
  <si>
    <t>311 MW</t>
  </si>
  <si>
    <t>€ 448 million</t>
  </si>
  <si>
    <t>€ 1630 million</t>
  </si>
  <si>
    <t>48 months</t>
  </si>
  <si>
    <t>Max Capacity Output</t>
  </si>
  <si>
    <t>209 MW</t>
  </si>
  <si>
    <t>Capacity factor</t>
  </si>
  <si>
    <t>18 months</t>
  </si>
  <si>
    <t>€ ~12000 million</t>
  </si>
  <si>
    <t>96 months</t>
  </si>
  <si>
    <t>5474 MW</t>
  </si>
  <si>
    <t>Paks II Nuclear Power Plant (Paks, HU)</t>
  </si>
  <si>
    <t>Horns Rev II East North Sea (EU, DK)</t>
  </si>
  <si>
    <t>Type</t>
  </si>
  <si>
    <t>Wind farm</t>
  </si>
  <si>
    <t>Nuclear power plant</t>
  </si>
  <si>
    <t>Solar power</t>
  </si>
  <si>
    <t>Fossil powered</t>
  </si>
  <si>
    <t>Biomass, wood pellet</t>
  </si>
  <si>
    <t>750 MW</t>
  </si>
  <si>
    <t>Blue energy</t>
  </si>
  <si>
    <t>€ ~45 million</t>
  </si>
  <si>
    <t>1 Million Owatep Probes (EU, North Sea)</t>
  </si>
  <si>
    <t>Construction costs</t>
  </si>
  <si>
    <t>60 months</t>
  </si>
  <si>
    <t>€ 837 million</t>
  </si>
  <si>
    <r>
      <t>Typical thermal efficiency for utility-scale electrical generators is around 33% for coal and oil-fired plants, and 56 – 60% (LHV) for </t>
    </r>
    <r>
      <rPr>
        <sz val="7"/>
        <color rgb="FF0B0080"/>
        <rFont val="Arial"/>
        <family val="2"/>
        <charset val="238"/>
      </rPr>
      <t>combined-cycle</t>
    </r>
    <r>
      <rPr>
        <sz val="7"/>
        <color rgb="FF252525"/>
        <rFont val="Arial"/>
        <family val="2"/>
        <charset val="238"/>
      </rPr>
      <t> gas-fired plants. Plants designed to achieve peak efficiency while operating at capacity will be less efficient when operating off-design (i.e. temperatures too low.)</t>
    </r>
    <r>
      <rPr>
        <vertAlign val="superscript"/>
        <sz val="7"/>
        <color rgb="FF0B0080"/>
        <rFont val="Arial"/>
        <family val="2"/>
        <charset val="238"/>
      </rPr>
      <t>[3]</t>
    </r>
  </si>
  <si>
    <t>Bełchatów Fossil Power Station Refurbishment (Bełchatów, PL)</t>
  </si>
  <si>
    <t>€ ~17000 million</t>
  </si>
  <si>
    <t>87 months</t>
  </si>
  <si>
    <t xml:space="preserve">Sources: European Photovoltaic Industry Association (epia.org), Gartner Inc., Wolfram Alpha, iResearch Global, National Renewable Energy Laboratory  (nrel.gov)
</t>
  </si>
  <si>
    <t>1M OWaTeP által termelt áramdíj</t>
  </si>
  <si>
    <t>Unit</t>
  </si>
  <si>
    <t>factor</t>
  </si>
  <si>
    <t>Chosen metals for the seebeck circuits</t>
  </si>
  <si>
    <t>ENERGY METHODS COMPARISON TABLE</t>
  </si>
  <si>
    <t>Drax Power Station 
(North Yorkshire, UK)</t>
  </si>
  <si>
    <t>Variables of copper wire for the seebeck circuit</t>
  </si>
  <si>
    <t>Calculated values of an Owatep unit</t>
  </si>
  <si>
    <t>1 Owatep unit's energy subtraction - daily (MJ)</t>
  </si>
  <si>
    <t>1 Owatep unit's energy subtraction - daily (J)</t>
  </si>
  <si>
    <t>1 Owatep unit's energy subtraction - Annual</t>
  </si>
  <si>
    <t>1M Owateps' energy subtraction - Daily</t>
  </si>
  <si>
    <r>
      <t>Pb</t>
    </r>
    <r>
      <rPr>
        <b/>
        <sz val="7"/>
        <color theme="0"/>
        <rFont val="Calibri"/>
        <family val="2"/>
        <charset val="238"/>
        <scheme val="minor"/>
      </rPr>
      <t>15</t>
    </r>
    <r>
      <rPr>
        <b/>
        <sz val="11"/>
        <color theme="0"/>
        <rFont val="Calibri"/>
        <family val="2"/>
        <charset val="238"/>
        <scheme val="minor"/>
      </rPr>
      <t>Ge</t>
    </r>
    <r>
      <rPr>
        <b/>
        <sz val="7"/>
        <color theme="0"/>
        <rFont val="Calibri"/>
        <family val="2"/>
        <charset val="238"/>
        <scheme val="minor"/>
      </rPr>
      <t>37</t>
    </r>
    <r>
      <rPr>
        <b/>
        <sz val="11"/>
        <color theme="0"/>
        <rFont val="Calibri"/>
        <family val="2"/>
        <charset val="238"/>
        <scheme val="minor"/>
      </rPr>
      <t>Se</t>
    </r>
    <r>
      <rPr>
        <b/>
        <sz val="7"/>
        <color theme="0"/>
        <rFont val="Calibri"/>
        <family val="2"/>
        <charset val="238"/>
        <scheme val="minor"/>
      </rPr>
      <t>58</t>
    </r>
  </si>
  <si>
    <r>
      <t>Pb</t>
    </r>
    <r>
      <rPr>
        <b/>
        <sz val="7"/>
        <color theme="0"/>
        <rFont val="Calibri"/>
        <family val="2"/>
        <charset val="238"/>
        <scheme val="minor"/>
      </rPr>
      <t>03</t>
    </r>
    <r>
      <rPr>
        <b/>
        <sz val="11"/>
        <color theme="0"/>
        <rFont val="Calibri"/>
        <family val="2"/>
        <charset val="238"/>
        <scheme val="minor"/>
      </rPr>
      <t>Ge</t>
    </r>
    <r>
      <rPr>
        <b/>
        <sz val="7"/>
        <color theme="0"/>
        <rFont val="Calibri"/>
        <family val="2"/>
        <charset val="238"/>
        <scheme val="minor"/>
      </rPr>
      <t>39</t>
    </r>
    <r>
      <rPr>
        <b/>
        <sz val="11"/>
        <color theme="0"/>
        <rFont val="Calibri"/>
        <family val="2"/>
        <charset val="238"/>
        <scheme val="minor"/>
      </rPr>
      <t>Se</t>
    </r>
    <r>
      <rPr>
        <b/>
        <sz val="7"/>
        <color theme="0"/>
        <rFont val="Calibri"/>
        <family val="2"/>
        <charset val="238"/>
        <scheme val="minor"/>
      </rPr>
      <t>58</t>
    </r>
  </si>
  <si>
    <t>The potential of OTEC is vast. One square meter of Ocean surface area on average receives about 175 watts of solar irradiation. The total amount of globally received solar power is therefore about 90 petawatts. This is over 6,000 times the total global energy usage. If we exploit just of fraction of that energy, we have enough to power the world. (Bluerise website)</t>
  </si>
  <si>
    <t>Megtérülési idő (kisérleti célú viszonyszám)</t>
  </si>
  <si>
    <t xml:space="preserve">Mi történik 3-4 fém alkalmazása esetén: Szelén, Bizmut, Tellúr, Réz  (rövid levezetés, alátámasztva); </t>
  </si>
  <si>
    <t>Különleges ötvözeteink előállításának feltételei és lehetőségei: Pb03Ge39Se58 + Pb15Ge37Se58</t>
  </si>
  <si>
    <t>Vizsgáljuk meg egy kétkörös-ciklusú, vízhűtésre optimalizált Owatep lehetőségeit: extra peltier-elemeket iktatunk be, amelyek a környező víz hűtésére használják fel az összegyűjtött energiát. Milyen CoP/EER hatásfok érhető el a kicsi alapkonfiggal és a naggyal (9m átmérő esetén)?</t>
  </si>
  <si>
    <t>Milyen arányban van a felvett napenergia mennyisége (a forróponton a lencse alatt) és a vízbe esetlegesen leadott hőenergia (a hidegponton) egymással?</t>
  </si>
  <si>
    <t>hossz</t>
  </si>
  <si>
    <t>kerület</t>
  </si>
  <si>
    <t>External resistance</t>
  </si>
  <si>
    <t>Kötelező átvétel, magyar VER árak</t>
  </si>
  <si>
    <t>http://www.mekh.hu/hatosagi-arak-2/villamos-energia/kotelezo-atvetel.html</t>
  </si>
  <si>
    <t>Forint / kWh (megújulók átéveteli tarifája Magyarországon)</t>
  </si>
  <si>
    <t>Forint/ kWh (megújulók átéveteli tarifája Németországban)</t>
  </si>
  <si>
    <t>http://www.germanenergyblog.de/?page_id=16379</t>
  </si>
  <si>
    <t>Kötelező átvétel, Németország</t>
  </si>
  <si>
    <t>Muszáj lesz</t>
  </si>
  <si>
    <t>Fém jellemzői</t>
  </si>
  <si>
    <t>Ra</t>
  </si>
  <si>
    <t>Egyéb állandók</t>
  </si>
  <si>
    <t>g</t>
  </si>
  <si>
    <t>1/K</t>
  </si>
  <si>
    <t>W/m/K</t>
  </si>
  <si>
    <t>kJ/kg/K</t>
  </si>
  <si>
    <t>Pr</t>
  </si>
  <si>
    <t>a</t>
  </si>
  <si>
    <t>-</t>
  </si>
  <si>
    <t>Nu</t>
  </si>
  <si>
    <t>Ernyő</t>
  </si>
  <si>
    <t>Borda</t>
  </si>
  <si>
    <t>Víz jellemzői@0°C</t>
  </si>
  <si>
    <t>Levegő jellemzői</t>
  </si>
  <si>
    <t>°C</t>
  </si>
  <si>
    <t>m/s</t>
  </si>
  <si>
    <t>Re</t>
  </si>
  <si>
    <t>U</t>
  </si>
  <si>
    <t>db</t>
  </si>
  <si>
    <t>h</t>
  </si>
  <si>
    <t>H</t>
  </si>
  <si>
    <t>B</t>
  </si>
  <si>
    <t>s</t>
  </si>
  <si>
    <t>J/kg</t>
  </si>
  <si>
    <t>nap</t>
  </si>
  <si>
    <t>Hűtőborda</t>
  </si>
  <si>
    <r>
      <t>m/s</t>
    </r>
    <r>
      <rPr>
        <vertAlign val="superscript"/>
        <sz val="11"/>
        <color theme="1"/>
        <rFont val="Calibri"/>
        <family val="2"/>
        <charset val="238"/>
        <scheme val="minor"/>
      </rPr>
      <t>2</t>
    </r>
  </si>
  <si>
    <t>1/K @10°C</t>
  </si>
  <si>
    <r>
      <t>D</t>
    </r>
    <r>
      <rPr>
        <vertAlign val="subscript"/>
        <sz val="11"/>
        <color theme="1"/>
        <rFont val="Calibri"/>
        <family val="2"/>
        <charset val="238"/>
        <scheme val="minor"/>
      </rPr>
      <t>ernyőelem</t>
    </r>
  </si>
  <si>
    <r>
      <t>n</t>
    </r>
    <r>
      <rPr>
        <vertAlign val="subscript"/>
        <sz val="11"/>
        <color theme="1"/>
        <rFont val="Calibri"/>
        <family val="2"/>
        <charset val="238"/>
        <scheme val="minor"/>
      </rPr>
      <t>rúd</t>
    </r>
  </si>
  <si>
    <r>
      <t>m</t>
    </r>
    <r>
      <rPr>
        <vertAlign val="superscript"/>
        <sz val="11"/>
        <color theme="1"/>
        <rFont val="Calibri"/>
        <family val="2"/>
        <charset val="238"/>
        <scheme val="minor"/>
      </rPr>
      <t>2</t>
    </r>
  </si>
  <si>
    <t>λ</t>
  </si>
  <si>
    <t>réz</t>
  </si>
  <si>
    <r>
      <t>D</t>
    </r>
    <r>
      <rPr>
        <vertAlign val="subscript"/>
        <sz val="11"/>
        <color theme="1"/>
        <rFont val="Calibri"/>
        <family val="2"/>
        <charset val="238"/>
        <scheme val="minor"/>
      </rPr>
      <t>bordaelem</t>
    </r>
  </si>
  <si>
    <t>β</t>
  </si>
  <si>
    <t>ρ</t>
  </si>
  <si>
    <r>
      <t>c</t>
    </r>
    <r>
      <rPr>
        <vertAlign val="subscript"/>
        <sz val="11"/>
        <color theme="1"/>
        <rFont val="Calibri"/>
        <family val="2"/>
        <charset val="238"/>
        <scheme val="minor"/>
      </rPr>
      <t>p</t>
    </r>
  </si>
  <si>
    <t>ν</t>
  </si>
  <si>
    <r>
      <t>T</t>
    </r>
    <r>
      <rPr>
        <vertAlign val="subscript"/>
        <sz val="11"/>
        <color theme="1"/>
        <rFont val="Calibri"/>
        <family val="2"/>
        <charset val="238"/>
        <scheme val="minor"/>
      </rPr>
      <t>fém</t>
    </r>
  </si>
  <si>
    <r>
      <t>T</t>
    </r>
    <r>
      <rPr>
        <vertAlign val="subscript"/>
        <sz val="11"/>
        <color theme="1"/>
        <rFont val="Calibri"/>
        <family val="2"/>
        <charset val="238"/>
        <scheme val="minor"/>
      </rPr>
      <t>víz</t>
    </r>
  </si>
  <si>
    <r>
      <t>T</t>
    </r>
    <r>
      <rPr>
        <vertAlign val="subscript"/>
        <sz val="11"/>
        <color theme="1"/>
        <rFont val="Calibri"/>
        <family val="2"/>
        <charset val="238"/>
        <scheme val="minor"/>
      </rPr>
      <t>f</t>
    </r>
  </si>
  <si>
    <r>
      <t>r</t>
    </r>
    <r>
      <rPr>
        <vertAlign val="subscript"/>
        <sz val="11"/>
        <color theme="1"/>
        <rFont val="Calibri"/>
        <family val="2"/>
        <charset val="238"/>
        <scheme val="minor"/>
      </rPr>
      <t>fagyás</t>
    </r>
  </si>
  <si>
    <r>
      <t>kg/m</t>
    </r>
    <r>
      <rPr>
        <vertAlign val="superscript"/>
        <sz val="11"/>
        <color theme="1"/>
        <rFont val="Calibri"/>
        <family val="2"/>
        <charset val="238"/>
        <scheme val="minor"/>
      </rPr>
      <t>3</t>
    </r>
  </si>
  <si>
    <r>
      <t>m</t>
    </r>
    <r>
      <rPr>
        <vertAlign val="superscript"/>
        <sz val="11"/>
        <color theme="1"/>
        <rFont val="Calibri"/>
        <family val="2"/>
        <charset val="238"/>
        <scheme val="minor"/>
      </rPr>
      <t>2</t>
    </r>
    <r>
      <rPr>
        <sz val="11"/>
        <color theme="1"/>
        <rFont val="Calibri"/>
        <family val="2"/>
        <charset val="238"/>
        <scheme val="minor"/>
      </rPr>
      <t>/s</t>
    </r>
  </si>
  <si>
    <r>
      <t>m</t>
    </r>
    <r>
      <rPr>
        <vertAlign val="superscript"/>
        <sz val="11"/>
        <color theme="1"/>
        <rFont val="Calibri"/>
        <family val="2"/>
        <charset val="238"/>
        <scheme val="minor"/>
      </rPr>
      <t>^2</t>
    </r>
  </si>
  <si>
    <r>
      <t>v</t>
    </r>
    <r>
      <rPr>
        <vertAlign val="subscript"/>
        <sz val="11"/>
        <color theme="1"/>
        <rFont val="Calibri"/>
        <family val="2"/>
        <charset val="238"/>
        <scheme val="minor"/>
      </rPr>
      <t>szél</t>
    </r>
  </si>
  <si>
    <r>
      <t>T</t>
    </r>
    <r>
      <rPr>
        <vertAlign val="subscript"/>
        <sz val="11"/>
        <color theme="1"/>
        <rFont val="Calibri"/>
        <family val="2"/>
        <charset val="238"/>
        <scheme val="minor"/>
      </rPr>
      <t>levegő</t>
    </r>
  </si>
  <si>
    <t>átmérő</t>
  </si>
  <si>
    <t>függőleges elemek száma</t>
  </si>
  <si>
    <t>keresztmetszet</t>
  </si>
  <si>
    <t>hővezetési tényező</t>
  </si>
  <si>
    <t>köbös hőtágulási együttható</t>
  </si>
  <si>
    <t>sűrűség</t>
  </si>
  <si>
    <t>izobár fajhő</t>
  </si>
  <si>
    <t>kinematikai viszkozitás</t>
  </si>
  <si>
    <t>Prandtl-szám</t>
  </si>
  <si>
    <t>hőfokvezetési tényező</t>
  </si>
  <si>
    <t>fém hőmérséklete</t>
  </si>
  <si>
    <t>víz hőmérséklete</t>
  </si>
  <si>
    <t>vízréteg vastagsága</t>
  </si>
  <si>
    <t>vízréteg területe</t>
  </si>
  <si>
    <t>sós víz fagyáspontja</t>
  </si>
  <si>
    <t>víz fagyáshője</t>
  </si>
  <si>
    <t>levegő hőméréklete</t>
  </si>
  <si>
    <t>levegő áramlási sebessége</t>
  </si>
  <si>
    <t>gravitációs állandó</t>
  </si>
  <si>
    <t>Néhány fém és ötvözet sűrűsége, hővezetési tényezője és fajhője @20°C</t>
  </si>
  <si>
    <t>Megnevezés</t>
  </si>
  <si>
    <r>
      <rPr>
        <sz val="11"/>
        <rFont val="Calibri"/>
        <family val="2"/>
        <charset val="238"/>
        <scheme val="minor"/>
      </rPr>
      <t>alumínium</t>
    </r>
  </si>
  <si>
    <r>
      <rPr>
        <sz val="11"/>
        <rFont val="Calibri"/>
        <family val="2"/>
        <charset val="238"/>
        <scheme val="minor"/>
      </rPr>
      <t>cink</t>
    </r>
  </si>
  <si>
    <r>
      <rPr>
        <sz val="11"/>
        <rFont val="Calibri"/>
        <family val="2"/>
        <charset val="238"/>
        <scheme val="minor"/>
      </rPr>
      <t>ezüst</t>
    </r>
  </si>
  <si>
    <r>
      <rPr>
        <sz val="11"/>
        <rFont val="Calibri"/>
        <family val="2"/>
        <charset val="238"/>
        <scheme val="minor"/>
      </rPr>
      <t>króm</t>
    </r>
  </si>
  <si>
    <r>
      <rPr>
        <sz val="11"/>
        <rFont val="Calibri"/>
        <family val="2"/>
        <charset val="238"/>
        <scheme val="minor"/>
      </rPr>
      <t>magnézium</t>
    </r>
  </si>
  <si>
    <r>
      <rPr>
        <sz val="11"/>
        <rFont val="Calibri"/>
        <family val="2"/>
        <charset val="238"/>
        <scheme val="minor"/>
      </rPr>
      <t>nikkel</t>
    </r>
  </si>
  <si>
    <r>
      <rPr>
        <sz val="11"/>
        <rFont val="Calibri"/>
        <family val="2"/>
        <charset val="238"/>
        <scheme val="minor"/>
      </rPr>
      <t>ólom</t>
    </r>
  </si>
  <si>
    <r>
      <rPr>
        <sz val="11"/>
        <rFont val="Calibri"/>
        <family val="2"/>
        <charset val="238"/>
        <scheme val="minor"/>
      </rPr>
      <t>ón</t>
    </r>
  </si>
  <si>
    <r>
      <rPr>
        <sz val="11"/>
        <rFont val="Calibri"/>
        <family val="2"/>
        <charset val="238"/>
        <scheme val="minor"/>
      </rPr>
      <t>réz</t>
    </r>
  </si>
  <si>
    <r>
      <rPr>
        <sz val="11"/>
        <rFont val="Calibri"/>
        <family val="2"/>
        <charset val="238"/>
        <scheme val="minor"/>
      </rPr>
      <t>sárgaréz</t>
    </r>
  </si>
  <si>
    <r>
      <rPr>
        <sz val="11"/>
        <rFont val="Calibri"/>
        <family val="2"/>
        <charset val="238"/>
        <scheme val="minor"/>
      </rPr>
      <t>konstantán</t>
    </r>
  </si>
  <si>
    <r>
      <rPr>
        <sz val="11"/>
        <rFont val="Calibri"/>
        <family val="2"/>
        <charset val="238"/>
        <scheme val="minor"/>
      </rPr>
      <t>tantál</t>
    </r>
  </si>
  <si>
    <r>
      <rPr>
        <sz val="11"/>
        <rFont val="Calibri"/>
        <family val="2"/>
        <charset val="238"/>
        <scheme val="minor"/>
      </rPr>
      <t>vas</t>
    </r>
  </si>
  <si>
    <r>
      <rPr>
        <sz val="11"/>
        <rFont val="Calibri"/>
        <family val="2"/>
        <charset val="238"/>
        <scheme val="minor"/>
      </rPr>
      <t>öntöttvas</t>
    </r>
  </si>
  <si>
    <r>
      <rPr>
        <sz val="11"/>
        <rFont val="Calibri"/>
        <family val="2"/>
        <charset val="238"/>
        <scheme val="minor"/>
      </rPr>
      <t>volfrám</t>
    </r>
  </si>
  <si>
    <r>
      <rPr>
        <b/>
        <sz val="11"/>
        <rFont val="Calibri"/>
        <family val="2"/>
        <charset val="238"/>
        <scheme val="minor"/>
      </rPr>
      <t>ρ, kg/m3</t>
    </r>
  </si>
  <si>
    <r>
      <rPr>
        <b/>
        <sz val="11"/>
        <rFont val="Calibri"/>
        <family val="2"/>
        <charset val="238"/>
        <scheme val="minor"/>
      </rPr>
      <t>λ, W/(m·K)</t>
    </r>
  </si>
  <si>
    <r>
      <rPr>
        <b/>
        <i/>
        <sz val="11"/>
        <rFont val="Calibri"/>
        <family val="2"/>
        <charset val="238"/>
        <scheme val="minor"/>
      </rPr>
      <t>c</t>
    </r>
    <r>
      <rPr>
        <b/>
        <sz val="11"/>
        <rFont val="Calibri"/>
        <family val="2"/>
        <charset val="238"/>
        <scheme val="minor"/>
      </rPr>
      <t>, J/(kg·K)</t>
    </r>
  </si>
  <si>
    <t>duralumínium</t>
  </si>
  <si>
    <t>(93,2%Al, 3,9%Cu, 1,3%Mn, 0,7%Si)</t>
  </si>
  <si>
    <t>(87%Al, 13%Si)</t>
  </si>
  <si>
    <t>silumin</t>
  </si>
  <si>
    <t>bronz</t>
  </si>
  <si>
    <t>(86%Cu, 9%Sn, 6%Zn)</t>
  </si>
  <si>
    <t>acél</t>
  </si>
  <si>
    <t>(1%C)</t>
  </si>
  <si>
    <t>V2A</t>
  </si>
  <si>
    <t>(18%Cr, 8%Ni)</t>
  </si>
  <si>
    <t>invaracél</t>
  </si>
  <si>
    <t>(36%Ni)</t>
  </si>
  <si>
    <t>Válassz a legördülő menüből!</t>
  </si>
  <si>
    <t>Számítások</t>
  </si>
  <si>
    <t>Reynolds-szám</t>
  </si>
  <si>
    <t>Nusselt-szám</t>
  </si>
  <si>
    <t>hőátadási tényező</t>
  </si>
  <si>
    <r>
      <t>W/m</t>
    </r>
    <r>
      <rPr>
        <vertAlign val="superscript"/>
        <sz val="11"/>
        <color theme="1"/>
        <rFont val="Calibri"/>
        <family val="2"/>
        <charset val="238"/>
        <scheme val="minor"/>
      </rPr>
      <t>2</t>
    </r>
    <r>
      <rPr>
        <sz val="11"/>
        <color theme="1"/>
        <rFont val="Calibri"/>
        <family val="2"/>
        <charset val="238"/>
        <scheme val="minor"/>
      </rPr>
      <t>/K</t>
    </r>
  </si>
  <si>
    <t>bordaparaméter</t>
  </si>
  <si>
    <t>elsőfajú peremfeltétel a hőteljesítményhez</t>
  </si>
  <si>
    <t>harmadfajú peremfeltétel a hőteljesítményhez</t>
  </si>
  <si>
    <t>α</t>
  </si>
  <si>
    <r>
      <t>t</t>
    </r>
    <r>
      <rPr>
        <vertAlign val="subscript"/>
        <sz val="11"/>
        <color theme="1"/>
        <rFont val="Calibri"/>
        <family val="2"/>
        <charset val="238"/>
        <scheme val="minor"/>
      </rPr>
      <t>szenzibilis</t>
    </r>
  </si>
  <si>
    <r>
      <t>t</t>
    </r>
    <r>
      <rPr>
        <vertAlign val="subscript"/>
        <sz val="11"/>
        <color theme="1"/>
        <rFont val="Calibri"/>
        <family val="2"/>
        <charset val="238"/>
        <scheme val="minor"/>
      </rPr>
      <t>látens</t>
    </r>
  </si>
  <si>
    <r>
      <t>t</t>
    </r>
    <r>
      <rPr>
        <vertAlign val="subscript"/>
        <sz val="11"/>
        <color theme="1"/>
        <rFont val="Calibri"/>
        <family val="2"/>
        <charset val="238"/>
        <scheme val="minor"/>
      </rPr>
      <t>össz</t>
    </r>
  </si>
  <si>
    <t>Rayleigh-szám</t>
  </si>
  <si>
    <r>
      <t>A</t>
    </r>
    <r>
      <rPr>
        <vertAlign val="subscript"/>
        <sz val="11"/>
        <color theme="1"/>
        <rFont val="Calibri"/>
        <family val="2"/>
        <charset val="238"/>
        <scheme val="minor"/>
      </rPr>
      <t>ernyő</t>
    </r>
  </si>
  <si>
    <t>η</t>
  </si>
  <si>
    <t>a vízhűtés ideje</t>
  </si>
  <si>
    <t>a jégképződés ideje</t>
  </si>
  <si>
    <t>összidő</t>
  </si>
  <si>
    <t>szükséges ernyőfelület a vízben</t>
  </si>
  <si>
    <t>szenzibilis hő</t>
  </si>
  <si>
    <t>látenshő</t>
  </si>
  <si>
    <r>
      <t>Q</t>
    </r>
    <r>
      <rPr>
        <vertAlign val="subscript"/>
        <sz val="11"/>
        <color theme="1"/>
        <rFont val="Calibri"/>
        <family val="2"/>
        <charset val="238"/>
        <scheme val="minor"/>
      </rPr>
      <t>szenzibilis</t>
    </r>
  </si>
  <si>
    <r>
      <t>Q</t>
    </r>
    <r>
      <rPr>
        <vertAlign val="subscript"/>
        <sz val="11"/>
        <color theme="1"/>
        <rFont val="Calibri"/>
        <family val="2"/>
        <charset val="238"/>
        <scheme val="minor"/>
      </rPr>
      <t>látens</t>
    </r>
  </si>
  <si>
    <t>J</t>
  </si>
  <si>
    <r>
      <t>Q</t>
    </r>
    <r>
      <rPr>
        <vertAlign val="subscript"/>
        <sz val="11"/>
        <color theme="1"/>
        <rFont val="Calibri"/>
        <family val="2"/>
        <charset val="238"/>
        <scheme val="minor"/>
      </rPr>
      <t>össz</t>
    </r>
  </si>
  <si>
    <t>összes elvonandó hő</t>
  </si>
  <si>
    <t>hatásfok (valójában itt nem értelmezzük az energetikai hatásfokot)</t>
  </si>
  <si>
    <t>források</t>
  </si>
  <si>
    <t>http://hu.wikipedia.org/wiki/V%C3%ADz_%28adatt%C3%A1bl%C3%A1zat%29</t>
  </si>
  <si>
    <t>http://en.wikipedia.org/wiki/Climate_of_the_Arctic</t>
  </si>
  <si>
    <t>http://www.grida.no/graphicslib/detail/arctic-ocean-surface-temperatures_1242</t>
  </si>
  <si>
    <t>http://sea-temperature.com/country_water/greenland/3</t>
  </si>
  <si>
    <t>http://en.wikipedia.org/wiki/Arctic_Ocean</t>
  </si>
  <si>
    <t>http://www.zoldinfolanc.hu/doksik/orszagos/viz/vizek.pdf</t>
  </si>
  <si>
    <t>BME GPK Műszaki hőtan II. Hőközlés, saját egyetemi jegyzet</t>
  </si>
  <si>
    <t>Hóágyú jellemzői</t>
  </si>
  <si>
    <r>
      <t>P</t>
    </r>
    <r>
      <rPr>
        <vertAlign val="subscript"/>
        <sz val="11"/>
        <color theme="1"/>
        <rFont val="Calibri"/>
        <family val="2"/>
        <charset val="238"/>
        <scheme val="minor"/>
      </rPr>
      <t>fan</t>
    </r>
  </si>
  <si>
    <t>kW</t>
  </si>
  <si>
    <r>
      <t>P</t>
    </r>
    <r>
      <rPr>
        <vertAlign val="subscript"/>
        <sz val="11"/>
        <color theme="1"/>
        <rFont val="Calibri"/>
        <family val="2"/>
        <charset val="238"/>
        <scheme val="minor"/>
      </rPr>
      <t>compr</t>
    </r>
  </si>
  <si>
    <t>ventilátor teljesítmény</t>
  </si>
  <si>
    <t>kompresszor teljesítmény</t>
  </si>
  <si>
    <r>
      <t>P</t>
    </r>
    <r>
      <rPr>
        <vertAlign val="subscript"/>
        <sz val="11"/>
        <color theme="1"/>
        <rFont val="Calibri"/>
        <family val="2"/>
        <charset val="238"/>
        <scheme val="minor"/>
      </rPr>
      <t>heating</t>
    </r>
  </si>
  <si>
    <t>fűtés teljesítménye</t>
  </si>
  <si>
    <t>kg/s</t>
  </si>
  <si>
    <t>víz tömegárama, max</t>
  </si>
  <si>
    <t>Tfh. a hó melegedés közben a tengervíz fagyáspontját éri el</t>
  </si>
  <si>
    <r>
      <t>m'</t>
    </r>
    <r>
      <rPr>
        <vertAlign val="subscript"/>
        <sz val="11"/>
        <color theme="1"/>
        <rFont val="Calibri"/>
        <family val="2"/>
        <charset val="238"/>
        <scheme val="minor"/>
      </rPr>
      <t>water</t>
    </r>
  </si>
  <si>
    <r>
      <t>Q</t>
    </r>
    <r>
      <rPr>
        <vertAlign val="subscript"/>
        <sz val="11"/>
        <color theme="1"/>
        <rFont val="Calibri"/>
        <family val="2"/>
        <charset val="238"/>
        <scheme val="minor"/>
      </rPr>
      <t>water,cooling</t>
    </r>
  </si>
  <si>
    <r>
      <t>Q</t>
    </r>
    <r>
      <rPr>
        <vertAlign val="subscript"/>
        <sz val="11"/>
        <color theme="1"/>
        <rFont val="Calibri"/>
        <family val="2"/>
        <charset val="238"/>
        <scheme val="minor"/>
      </rPr>
      <t>freezing</t>
    </r>
  </si>
  <si>
    <t>kJ</t>
  </si>
  <si>
    <r>
      <t>Q</t>
    </r>
    <r>
      <rPr>
        <vertAlign val="subscript"/>
        <sz val="11"/>
        <color theme="1"/>
        <rFont val="Calibri"/>
        <family val="2"/>
        <charset val="238"/>
        <scheme val="minor"/>
      </rPr>
      <t>total</t>
    </r>
  </si>
  <si>
    <r>
      <t>m</t>
    </r>
    <r>
      <rPr>
        <vertAlign val="subscript"/>
        <sz val="11"/>
        <color theme="1"/>
        <rFont val="Calibri"/>
        <family val="2"/>
        <charset val="238"/>
        <scheme val="minor"/>
      </rPr>
      <t>snow, demand</t>
    </r>
  </si>
  <si>
    <r>
      <t>E</t>
    </r>
    <r>
      <rPr>
        <vertAlign val="subscript"/>
        <sz val="11"/>
        <color theme="1"/>
        <rFont val="Calibri"/>
        <family val="2"/>
        <charset val="238"/>
        <scheme val="minor"/>
      </rPr>
      <t>electricity</t>
    </r>
  </si>
  <si>
    <r>
      <t>P</t>
    </r>
    <r>
      <rPr>
        <vertAlign val="subscript"/>
        <sz val="11"/>
        <color theme="1"/>
        <rFont val="Calibri"/>
        <family val="2"/>
        <charset val="238"/>
        <scheme val="minor"/>
      </rPr>
      <t>pump</t>
    </r>
  </si>
  <si>
    <t>szivattyú teljesítménye</t>
  </si>
  <si>
    <t>víz hűtése fagyáspontig</t>
  </si>
  <si>
    <t>víz fagyasztása</t>
  </si>
  <si>
    <t>igényelt hó mennyisége</t>
  </si>
  <si>
    <t>fagyasztási idő (zárt termodinamikai rendszer esetén)</t>
  </si>
  <si>
    <t>energiafelhasználás</t>
  </si>
  <si>
    <t>hatásfok</t>
  </si>
  <si>
    <t>Peltier elem teljesítménye</t>
  </si>
  <si>
    <r>
      <t>P</t>
    </r>
    <r>
      <rPr>
        <vertAlign val="subscript"/>
        <sz val="11"/>
        <color theme="1"/>
        <rFont val="Calibri"/>
        <family val="2"/>
        <charset val="238"/>
        <scheme val="minor"/>
      </rPr>
      <t>thermo</t>
    </r>
  </si>
  <si>
    <t>n</t>
  </si>
  <si>
    <t>1 db elem teljesítménye</t>
  </si>
  <si>
    <t>elemek száma</t>
  </si>
  <si>
    <t>%</t>
  </si>
  <si>
    <r>
      <t>E</t>
    </r>
    <r>
      <rPr>
        <vertAlign val="subscript"/>
        <sz val="11"/>
        <color theme="1"/>
        <rFont val="Calibri"/>
        <family val="2"/>
        <charset val="238"/>
        <scheme val="minor"/>
      </rPr>
      <t>thermoelectricity</t>
    </r>
  </si>
  <si>
    <t>villamos energia --&gt; Peltier-effektus --&gt; hő, csak ellenőrzés</t>
  </si>
  <si>
    <t>http://www.turbocristal.com/images/pdf/supercrystal.pdf</t>
  </si>
  <si>
    <t>http://www.hkdsnowmakers.com/turbo-fans-super-blizzard.asp</t>
  </si>
  <si>
    <t>http://ecomodder.com/forum/showthread.php/why-arent-we-using-peltier-modules-22368.html</t>
  </si>
  <si>
    <t>Pb03Ge39Se58</t>
  </si>
  <si>
    <t>Pb15Ge37Se58</t>
  </si>
  <si>
    <t>Hőmérséklet</t>
  </si>
  <si>
    <t>Párolgáshő</t>
  </si>
  <si>
    <t>Gőznyomás (folyadék felett)</t>
  </si>
  <si>
    <t>Sűrűség</t>
  </si>
  <si>
    <t>Fajhő</t>
  </si>
  <si>
    <t>Párolgáshő/fajhő</t>
  </si>
  <si>
    <t>1 m3 gázban ennyi víz van telíttt állapotban</t>
  </si>
  <si>
    <t>1 kg víz ennyi gázban van</t>
  </si>
  <si>
    <t>Olvadáshő</t>
  </si>
  <si>
    <t>Olvadáshő/fajhő</t>
  </si>
  <si>
    <t>kJ/kg</t>
  </si>
  <si>
    <t>Bar</t>
  </si>
  <si>
    <t>kJ/kgK</t>
  </si>
  <si>
    <t>K</t>
  </si>
  <si>
    <t>hő fajhője</t>
  </si>
  <si>
    <t>http://physics.info/heat-sensible/</t>
  </si>
  <si>
    <t>Method</t>
  </si>
  <si>
    <t>Heatsink</t>
  </si>
  <si>
    <t>Snow maker</t>
  </si>
  <si>
    <t>Peltier cooler</t>
  </si>
  <si>
    <t>Cooling tower</t>
  </si>
  <si>
    <r>
      <t>Q</t>
    </r>
    <r>
      <rPr>
        <vertAlign val="subscript"/>
        <sz val="11"/>
        <color theme="1"/>
        <rFont val="Calibri"/>
        <family val="2"/>
        <charset val="238"/>
        <scheme val="minor"/>
      </rPr>
      <t>cooling</t>
    </r>
  </si>
  <si>
    <r>
      <t>P</t>
    </r>
    <r>
      <rPr>
        <vertAlign val="subscript"/>
        <sz val="11"/>
        <color theme="1"/>
        <rFont val="Calibri"/>
        <family val="2"/>
        <charset val="238"/>
        <scheme val="minor"/>
      </rPr>
      <t xml:space="preserve">thermo, </t>
    </r>
    <r>
      <rPr>
        <sz val="11"/>
        <color theme="1"/>
        <rFont val="Calibri"/>
        <family val="2"/>
        <charset val="238"/>
        <scheme val="minor"/>
      </rPr>
      <t>mW</t>
    </r>
  </si>
  <si>
    <t>H, m</t>
  </si>
  <si>
    <r>
      <t>D</t>
    </r>
    <r>
      <rPr>
        <vertAlign val="subscript"/>
        <sz val="11"/>
        <color theme="1"/>
        <rFont val="Calibri"/>
        <family val="2"/>
        <charset val="238"/>
        <scheme val="minor"/>
      </rPr>
      <t xml:space="preserve">ernyőelem, </t>
    </r>
    <r>
      <rPr>
        <sz val="11"/>
        <color theme="1"/>
        <rFont val="Calibri"/>
        <family val="2"/>
        <charset val="238"/>
        <scheme val="minor"/>
      </rPr>
      <t>m</t>
    </r>
  </si>
  <si>
    <r>
      <t>D</t>
    </r>
    <r>
      <rPr>
        <vertAlign val="subscript"/>
        <sz val="11"/>
        <color theme="1"/>
        <rFont val="Calibri"/>
        <family val="2"/>
        <charset val="238"/>
        <scheme val="minor"/>
      </rPr>
      <t xml:space="preserve">bordaelem, </t>
    </r>
    <r>
      <rPr>
        <sz val="11"/>
        <color theme="1"/>
        <rFont val="Calibri"/>
        <family val="2"/>
        <charset val="238"/>
        <scheme val="minor"/>
      </rPr>
      <t>m</t>
    </r>
  </si>
  <si>
    <r>
      <t>t</t>
    </r>
    <r>
      <rPr>
        <vertAlign val="subscript"/>
        <sz val="11"/>
        <color theme="1"/>
        <rFont val="Calibri"/>
        <family val="2"/>
        <charset val="238"/>
        <scheme val="minor"/>
      </rPr>
      <t>cooling</t>
    </r>
    <r>
      <rPr>
        <sz val="11"/>
        <color theme="1"/>
        <rFont val="Calibri"/>
        <family val="2"/>
        <charset val="238"/>
        <scheme val="minor"/>
      </rPr>
      <t>, h</t>
    </r>
  </si>
  <si>
    <t>?</t>
  </si>
  <si>
    <t>Típus</t>
  </si>
  <si>
    <t>Naperőmű</t>
  </si>
  <si>
    <t>Szélerőmű</t>
  </si>
  <si>
    <t>Atomerőmű</t>
  </si>
  <si>
    <t>Szénerőmű</t>
  </si>
  <si>
    <t>Termogenerátor</t>
  </si>
  <si>
    <t>Név</t>
  </si>
  <si>
    <t>Ivanpah 1</t>
  </si>
  <si>
    <t>London Array</t>
  </si>
  <si>
    <t>Kashiwazaki-Kariwa 6 ABWR</t>
  </si>
  <si>
    <t>Kemper County IGCC</t>
  </si>
  <si>
    <t>1M Owatep</t>
  </si>
  <si>
    <t>123 MWe/416 MWth</t>
  </si>
  <si>
    <t>630 MWe</t>
  </si>
  <si>
    <t>1315 MWe/3926 MWth</t>
  </si>
  <si>
    <t>500MWe/1250 MWth</t>
  </si>
  <si>
    <t>36 Mwe</t>
  </si>
  <si>
    <t>195 MW</t>
  </si>
  <si>
    <t>920 MWe</t>
  </si>
  <si>
    <t>494,7 MWe</t>
  </si>
  <si>
    <t>Létesítés költsége</t>
  </si>
  <si>
    <t>4112 EUR/kW</t>
  </si>
  <si>
    <t>3492 EUR/kW</t>
  </si>
  <si>
    <t>2247 EUR/kW</t>
  </si>
  <si>
    <t>6936 EUR/kW</t>
  </si>
  <si>
    <t>144 EUR/kW</t>
  </si>
  <si>
    <t>Építés ideje</t>
  </si>
  <si>
    <t>36-48 hónap</t>
  </si>
  <si>
    <t>24 hónap</t>
  </si>
  <si>
    <t>48-60 hónap</t>
  </si>
  <si>
    <t>60 hónap</t>
  </si>
  <si>
    <t>18 hónap</t>
  </si>
  <si>
    <t>Kapacitáskihasználási tényező</t>
  </si>
  <si>
    <t>Élettartam</t>
  </si>
  <si>
    <t>30 év</t>
  </si>
  <si>
    <t>24/50 év</t>
  </si>
  <si>
    <t>30/60 év</t>
  </si>
  <si>
    <t>20/40 év</t>
  </si>
  <si>
    <r>
      <t>P</t>
    </r>
    <r>
      <rPr>
        <b/>
        <vertAlign val="subscript"/>
        <sz val="11"/>
        <color theme="1"/>
        <rFont val="Calibri"/>
        <family val="2"/>
        <charset val="238"/>
        <scheme val="minor"/>
      </rPr>
      <t>névl, nettó</t>
    </r>
  </si>
  <si>
    <r>
      <t>P</t>
    </r>
    <r>
      <rPr>
        <b/>
        <vertAlign val="subscript"/>
        <sz val="11"/>
        <color theme="1"/>
        <rFont val="Calibri"/>
        <family val="2"/>
        <charset val="238"/>
        <scheme val="minor"/>
      </rPr>
      <t>átl</t>
    </r>
  </si>
  <si>
    <t>Further calculations</t>
  </si>
  <si>
    <t>: Acceptance of renewables (according to Act No. 389/2007)</t>
  </si>
  <si>
    <t>: Mandatory takeover of renewables (new Renewable Energy Sources Act 2014 Germany) 5.5 ct/kWh; 313 HUF/EUR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</si>
</sst>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3" formatCode="_-* #,##0.00\ _F_t_-;\-* #,##0.00\ _F_t_-;_-* &quot;-&quot;??\ _F_t_-;_-@_-"/>
    <numFmt numFmtId="164" formatCode="_-* #,##0\ _F_t_-;\-* #,##0\ _F_t_-;_-* &quot;-&quot;??\ _F_t_-;_-@_-"/>
    <numFmt numFmtId="165" formatCode="0.0"/>
    <numFmt numFmtId="166" formatCode="0.00000"/>
    <numFmt numFmtId="167" formatCode="0.0000"/>
    <numFmt numFmtId="168" formatCode="0.0000000"/>
    <numFmt numFmtId="169" formatCode="_-* #,##0.000000\ _F_t_-;\-* #,##0.000000\ _F_t_-;_-* &quot;-&quot;??\ _F_t_-;_-@_-"/>
    <numFmt numFmtId="170" formatCode="_-* #,##0.000\ _F_t_-;\-* #,##0.000\ _F_t_-;_-* &quot;-&quot;??\ _F_t_-;_-@_-"/>
    <numFmt numFmtId="171" formatCode="_-* #,##0\ _F_t_-;\-* #,##0\ _F_t_-;_-* &quot;-&quot;???\ _F_t_-;_-@_-"/>
    <numFmt numFmtId="172" formatCode="[$€-2]\ #,##0;[Red]\-[$€-2]\ #,##0"/>
    <numFmt numFmtId="173" formatCode="0.000"/>
    <numFmt numFmtId="174" formatCode="0.0%"/>
  </numFmts>
  <fonts count="46" x14ac:knownFonts="1">
    <font>
      <sz val="11"/>
      <color theme="1"/>
      <name val="Calibri"/>
      <family val="2"/>
      <charset val="238"/>
      <scheme val="minor"/>
    </font>
    <font>
      <b/>
      <sz val="11"/>
      <color theme="1"/>
      <name val="Calibri"/>
      <family val="2"/>
      <charset val="238"/>
      <scheme val="minor"/>
    </font>
    <font>
      <u/>
      <sz val="11"/>
      <color theme="10"/>
      <name val="Calibri"/>
      <family val="2"/>
      <charset val="238"/>
      <scheme val="minor"/>
    </font>
    <font>
      <sz val="11"/>
      <color theme="1"/>
      <name val="Calibri"/>
      <family val="2"/>
      <charset val="238"/>
      <scheme val="minor"/>
    </font>
    <font>
      <b/>
      <sz val="11"/>
      <color theme="0"/>
      <name val="Calibri"/>
      <family val="2"/>
      <charset val="238"/>
      <scheme val="minor"/>
    </font>
    <font>
      <sz val="11"/>
      <color theme="0"/>
      <name val="Calibri"/>
      <family val="2"/>
      <charset val="238"/>
      <scheme val="minor"/>
    </font>
    <font>
      <sz val="8"/>
      <color theme="1"/>
      <name val="Calibri"/>
      <family val="2"/>
      <charset val="238"/>
      <scheme val="minor"/>
    </font>
    <font>
      <b/>
      <sz val="16"/>
      <color rgb="FF00B050"/>
      <name val="Calibri"/>
      <family val="2"/>
      <charset val="238"/>
      <scheme val="minor"/>
    </font>
    <font>
      <b/>
      <sz val="14"/>
      <color theme="0"/>
      <name val="Calibri"/>
      <family val="2"/>
      <charset val="238"/>
      <scheme val="minor"/>
    </font>
    <font>
      <b/>
      <sz val="14"/>
      <color theme="1"/>
      <name val="Calibri"/>
      <family val="2"/>
      <charset val="238"/>
      <scheme val="minor"/>
    </font>
    <font>
      <sz val="14"/>
      <color theme="1"/>
      <name val="Calibri"/>
      <family val="2"/>
      <charset val="238"/>
      <scheme val="minor"/>
    </font>
    <font>
      <sz val="11"/>
      <name val="Calibri"/>
      <family val="2"/>
      <charset val="238"/>
      <scheme val="minor"/>
    </font>
    <font>
      <b/>
      <sz val="13"/>
      <color theme="0"/>
      <name val="Calibri"/>
      <family val="2"/>
      <charset val="238"/>
      <scheme val="minor"/>
    </font>
    <font>
      <b/>
      <sz val="8"/>
      <color theme="1"/>
      <name val="Calibri"/>
      <family val="2"/>
      <charset val="238"/>
      <scheme val="minor"/>
    </font>
    <font>
      <b/>
      <sz val="11"/>
      <name val="Calibri"/>
      <family val="2"/>
      <charset val="238"/>
      <scheme val="minor"/>
    </font>
    <font>
      <sz val="9"/>
      <color theme="1"/>
      <name val="Calibri"/>
      <family val="2"/>
      <charset val="238"/>
      <scheme val="minor"/>
    </font>
    <font>
      <b/>
      <sz val="9"/>
      <color theme="1"/>
      <name val="Calibri"/>
      <family val="2"/>
      <charset val="238"/>
      <scheme val="minor"/>
    </font>
    <font>
      <b/>
      <sz val="8"/>
      <color theme="0"/>
      <name val="Calibri"/>
      <family val="2"/>
      <charset val="238"/>
      <scheme val="minor"/>
    </font>
    <font>
      <b/>
      <sz val="9"/>
      <color rgb="FF333333"/>
      <name val="Calibri"/>
      <family val="2"/>
      <charset val="238"/>
      <scheme val="minor"/>
    </font>
    <font>
      <b/>
      <sz val="8"/>
      <color theme="1"/>
      <name val="Calibri"/>
      <family val="2"/>
      <charset val="238"/>
    </font>
    <font>
      <b/>
      <sz val="8"/>
      <color theme="0"/>
      <name val="Calibri"/>
      <family val="2"/>
      <charset val="238"/>
    </font>
    <font>
      <b/>
      <sz val="12"/>
      <color theme="0"/>
      <name val="Calibri"/>
      <family val="2"/>
      <charset val="238"/>
      <scheme val="minor"/>
    </font>
    <font>
      <b/>
      <sz val="9"/>
      <color rgb="FFFF0000"/>
      <name val="Calibri"/>
      <family val="2"/>
      <charset val="238"/>
      <scheme val="minor"/>
    </font>
    <font>
      <sz val="10"/>
      <color rgb="FF000000"/>
      <name val="Arial"/>
      <family val="2"/>
      <charset val="238"/>
    </font>
    <font>
      <sz val="10"/>
      <color rgb="FF0B0080"/>
      <name val="Arial"/>
      <family val="2"/>
      <charset val="238"/>
    </font>
    <font>
      <vertAlign val="superscript"/>
      <sz val="11"/>
      <color rgb="FF000000"/>
      <name val="Arial"/>
      <family val="2"/>
      <charset val="238"/>
    </font>
    <font>
      <b/>
      <sz val="8"/>
      <name val="Calibri"/>
      <family val="2"/>
      <charset val="238"/>
      <scheme val="minor"/>
    </font>
    <font>
      <sz val="8.25"/>
      <color rgb="FF335533"/>
      <name val="MS Sans Serif"/>
      <family val="2"/>
      <charset val="238"/>
    </font>
    <font>
      <sz val="12"/>
      <color theme="1"/>
      <name val="Times New Roman"/>
      <family val="1"/>
      <charset val="238"/>
    </font>
    <font>
      <sz val="10"/>
      <color theme="1"/>
      <name val="Calibri"/>
      <family val="2"/>
      <charset val="238"/>
      <scheme val="minor"/>
    </font>
    <font>
      <sz val="7"/>
      <color rgb="FF252525"/>
      <name val="Arial"/>
      <family val="2"/>
      <charset val="238"/>
    </font>
    <font>
      <sz val="7"/>
      <color rgb="FF0B0080"/>
      <name val="Arial"/>
      <family val="2"/>
      <charset val="238"/>
    </font>
    <font>
      <vertAlign val="superscript"/>
      <sz val="7"/>
      <color rgb="FF0B0080"/>
      <name val="Arial"/>
      <family val="2"/>
      <charset val="238"/>
    </font>
    <font>
      <sz val="16"/>
      <color theme="1"/>
      <name val="Calibri"/>
      <family val="2"/>
      <charset val="238"/>
      <scheme val="minor"/>
    </font>
    <font>
      <b/>
      <sz val="10"/>
      <color theme="0"/>
      <name val="Calibri"/>
      <family val="2"/>
      <charset val="238"/>
      <scheme val="minor"/>
    </font>
    <font>
      <sz val="10"/>
      <color theme="0"/>
      <name val="Calibri"/>
      <family val="2"/>
      <charset val="238"/>
      <scheme val="minor"/>
    </font>
    <font>
      <b/>
      <sz val="9"/>
      <color theme="0"/>
      <name val="Calibri"/>
      <family val="2"/>
      <charset val="238"/>
      <scheme val="minor"/>
    </font>
    <font>
      <sz val="9"/>
      <color theme="0"/>
      <name val="Calibri"/>
      <family val="2"/>
      <charset val="238"/>
      <scheme val="minor"/>
    </font>
    <font>
      <b/>
      <sz val="7"/>
      <color theme="0"/>
      <name val="Calibri"/>
      <family val="2"/>
      <charset val="238"/>
      <scheme val="minor"/>
    </font>
    <font>
      <u/>
      <sz val="11"/>
      <color theme="1"/>
      <name val="Calibri"/>
      <family val="2"/>
      <charset val="238"/>
      <scheme val="minor"/>
    </font>
    <font>
      <vertAlign val="superscript"/>
      <sz val="11"/>
      <color theme="1"/>
      <name val="Calibri"/>
      <family val="2"/>
      <charset val="238"/>
      <scheme val="minor"/>
    </font>
    <font>
      <vertAlign val="subscript"/>
      <sz val="11"/>
      <color theme="1"/>
      <name val="Calibri"/>
      <family val="2"/>
      <charset val="238"/>
      <scheme val="minor"/>
    </font>
    <font>
      <sz val="11"/>
      <color theme="1"/>
      <name val="Calibri"/>
      <family val="2"/>
      <charset val="238"/>
    </font>
    <font>
      <b/>
      <i/>
      <sz val="11"/>
      <name val="Calibri"/>
      <family val="2"/>
      <charset val="238"/>
      <scheme val="minor"/>
    </font>
    <font>
      <sz val="11"/>
      <color rgb="FFFF0000"/>
      <name val="Calibri"/>
      <family val="2"/>
      <charset val="238"/>
      <scheme val="minor"/>
    </font>
    <font>
      <b/>
      <vertAlign val="subscript"/>
      <sz val="11"/>
      <color theme="1"/>
      <name val="Calibri"/>
      <family val="2"/>
      <charset val="238"/>
      <scheme val="minor"/>
    </font>
  </fonts>
  <fills count="26">
    <fill>
      <patternFill patternType="none"/>
    </fill>
    <fill>
      <patternFill patternType="gray125"/>
    </fill>
    <fill>
      <patternFill patternType="solid">
        <fgColor rgb="FFFFFF00"/>
        <bgColor indexed="64"/>
      </patternFill>
    </fill>
    <fill>
      <patternFill patternType="solid">
        <fgColor theme="9" tint="0.39997558519241921"/>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00B050"/>
        <bgColor indexed="64"/>
      </patternFill>
    </fill>
    <fill>
      <patternFill patternType="solid">
        <fgColor theme="1" tint="0.34998626667073579"/>
        <bgColor indexed="64"/>
      </patternFill>
    </fill>
    <fill>
      <patternFill patternType="solid">
        <fgColor theme="0"/>
        <bgColor indexed="64"/>
      </patternFill>
    </fill>
    <fill>
      <patternFill patternType="solid">
        <fgColor rgb="FFFFFFFF"/>
        <bgColor indexed="64"/>
      </patternFill>
    </fill>
    <fill>
      <patternFill patternType="solid">
        <fgColor rgb="FFFDE4D0"/>
        <bgColor indexed="64"/>
      </patternFill>
    </fill>
    <fill>
      <patternFill patternType="solid">
        <fgColor rgb="FFFBCAA2"/>
        <bgColor indexed="64"/>
      </patternFill>
    </fill>
    <fill>
      <patternFill patternType="solid">
        <fgColor theme="3"/>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9"/>
        <bgColor indexed="64"/>
      </patternFill>
    </fill>
    <fill>
      <patternFill patternType="solid">
        <fgColor theme="7" tint="0.59999389629810485"/>
        <bgColor indexed="64"/>
      </patternFill>
    </fill>
    <fill>
      <patternFill patternType="solid">
        <fgColor theme="2" tint="-0.249977111117893"/>
        <bgColor indexed="64"/>
      </patternFill>
    </fill>
    <fill>
      <patternFill patternType="solid">
        <fgColor theme="6"/>
        <bgColor indexed="64"/>
      </patternFill>
    </fill>
    <fill>
      <patternFill patternType="solid">
        <fgColor rgb="FFFFC000"/>
        <bgColor indexed="64"/>
      </patternFill>
    </fill>
  </fills>
  <borders count="2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s>
  <cellStyleXfs count="3">
    <xf numFmtId="0" fontId="0" fillId="0" borderId="0"/>
    <xf numFmtId="0" fontId="2" fillId="0" borderId="0" applyNumberFormat="0" applyFill="0" applyBorder="0" applyAlignment="0" applyProtection="0"/>
    <xf numFmtId="43" fontId="3" fillId="0" borderId="0" applyFont="0" applyFill="0" applyBorder="0" applyAlignment="0" applyProtection="0"/>
  </cellStyleXfs>
  <cellXfs count="279">
    <xf numFmtId="0" fontId="0" fillId="0" borderId="0" xfId="0"/>
    <xf numFmtId="2" fontId="0" fillId="0" borderId="0" xfId="0" applyNumberFormat="1"/>
    <xf numFmtId="0" fontId="2" fillId="0" borderId="0" xfId="1"/>
    <xf numFmtId="0" fontId="1" fillId="0" borderId="0" xfId="0" applyFont="1"/>
    <xf numFmtId="0" fontId="1" fillId="2" borderId="0" xfId="0" applyFont="1" applyFill="1"/>
    <xf numFmtId="0" fontId="0" fillId="2" borderId="0" xfId="0" applyFill="1"/>
    <xf numFmtId="164" fontId="0" fillId="0" borderId="0" xfId="2" applyNumberFormat="1" applyFont="1"/>
    <xf numFmtId="0" fontId="5" fillId="4" borderId="0" xfId="0" applyFont="1" applyFill="1"/>
    <xf numFmtId="0" fontId="0" fillId="0" borderId="0" xfId="0" applyAlignment="1">
      <alignment vertical="center"/>
    </xf>
    <xf numFmtId="0" fontId="2" fillId="0" borderId="0" xfId="1" applyAlignment="1">
      <alignment vertical="center"/>
    </xf>
    <xf numFmtId="0" fontId="7" fillId="0" borderId="0" xfId="0" applyFont="1"/>
    <xf numFmtId="0" fontId="0" fillId="6" borderId="0" xfId="0" applyFill="1"/>
    <xf numFmtId="0" fontId="10" fillId="0" borderId="0" xfId="0" applyFont="1"/>
    <xf numFmtId="0" fontId="9" fillId="0" borderId="0" xfId="0" applyFont="1"/>
    <xf numFmtId="11" fontId="0" fillId="0" borderId="0" xfId="0" applyNumberFormat="1"/>
    <xf numFmtId="0" fontId="11" fillId="6" borderId="0" xfId="0" applyFont="1" applyFill="1"/>
    <xf numFmtId="166" fontId="4" fillId="8" borderId="0" xfId="0" applyNumberFormat="1" applyFont="1" applyFill="1" applyAlignment="1"/>
    <xf numFmtId="0" fontId="1" fillId="0" borderId="0" xfId="0" applyFont="1" applyFill="1"/>
    <xf numFmtId="0" fontId="14" fillId="6" borderId="0" xfId="0" applyFont="1" applyFill="1"/>
    <xf numFmtId="0" fontId="1" fillId="6" borderId="0" xfId="0" applyFont="1" applyFill="1"/>
    <xf numFmtId="0" fontId="13" fillId="6" borderId="0" xfId="0" applyFont="1" applyFill="1" applyAlignment="1">
      <alignment horizontal="center"/>
    </xf>
    <xf numFmtId="0" fontId="13" fillId="0" borderId="0" xfId="0" applyFont="1"/>
    <xf numFmtId="0" fontId="16" fillId="0" borderId="0" xfId="0" applyFont="1"/>
    <xf numFmtId="0" fontId="18" fillId="0" borderId="0" xfId="0" applyFont="1"/>
    <xf numFmtId="0" fontId="20" fillId="8" borderId="0" xfId="0" applyFont="1" applyFill="1"/>
    <xf numFmtId="0" fontId="21" fillId="8" borderId="0" xfId="0" applyFont="1" applyFill="1"/>
    <xf numFmtId="1" fontId="0" fillId="0" borderId="0" xfId="0" applyNumberFormat="1"/>
    <xf numFmtId="0" fontId="8" fillId="9" borderId="0" xfId="0" applyFont="1" applyFill="1" applyAlignment="1"/>
    <xf numFmtId="0" fontId="8" fillId="9" borderId="0" xfId="0" applyFont="1" applyFill="1" applyAlignment="1">
      <alignment horizontal="right"/>
    </xf>
    <xf numFmtId="1" fontId="1" fillId="2" borderId="0" xfId="0" applyNumberFormat="1" applyFont="1" applyFill="1"/>
    <xf numFmtId="0" fontId="1" fillId="3" borderId="2" xfId="0" applyFont="1" applyFill="1" applyBorder="1"/>
    <xf numFmtId="0" fontId="13" fillId="3" borderId="2" xfId="0" applyFont="1" applyFill="1" applyBorder="1"/>
    <xf numFmtId="0" fontId="1" fillId="3" borderId="1" xfId="0" applyFont="1" applyFill="1" applyBorder="1" applyAlignment="1">
      <alignment horizontal="left" vertical="center"/>
    </xf>
    <xf numFmtId="0" fontId="8" fillId="9" borderId="5" xfId="0" applyFont="1" applyFill="1" applyBorder="1" applyAlignment="1">
      <alignment horizontal="right"/>
    </xf>
    <xf numFmtId="0" fontId="8" fillId="9" borderId="5" xfId="0" applyFont="1" applyFill="1" applyBorder="1" applyAlignment="1"/>
    <xf numFmtId="0" fontId="1" fillId="3" borderId="7" xfId="0" applyFont="1" applyFill="1" applyBorder="1" applyAlignment="1">
      <alignment horizontal="left" vertical="center"/>
    </xf>
    <xf numFmtId="11" fontId="1" fillId="3" borderId="0" xfId="0" applyNumberFormat="1" applyFont="1" applyFill="1" applyBorder="1"/>
    <xf numFmtId="0" fontId="19" fillId="3" borderId="0" xfId="0" applyFont="1" applyFill="1" applyBorder="1"/>
    <xf numFmtId="11" fontId="1" fillId="2" borderId="0" xfId="0" applyNumberFormat="1" applyFont="1" applyFill="1" applyBorder="1"/>
    <xf numFmtId="0" fontId="19" fillId="3" borderId="8" xfId="0" applyFont="1" applyFill="1" applyBorder="1"/>
    <xf numFmtId="0" fontId="1" fillId="3" borderId="0" xfId="0" applyFont="1" applyFill="1" applyBorder="1"/>
    <xf numFmtId="0" fontId="13" fillId="3" borderId="0" xfId="0" applyFont="1" applyFill="1" applyBorder="1"/>
    <xf numFmtId="0" fontId="1" fillId="2" borderId="0" xfId="0" applyFont="1" applyFill="1" applyBorder="1"/>
    <xf numFmtId="0" fontId="13" fillId="3" borderId="8" xfId="0" applyFont="1" applyFill="1" applyBorder="1"/>
    <xf numFmtId="0" fontId="1" fillId="3" borderId="9" xfId="0" applyFont="1" applyFill="1" applyBorder="1" applyAlignment="1">
      <alignment horizontal="left" vertical="center"/>
    </xf>
    <xf numFmtId="0" fontId="1" fillId="3" borderId="10" xfId="0" applyFont="1" applyFill="1" applyBorder="1"/>
    <xf numFmtId="0" fontId="13" fillId="3" borderId="10" xfId="0" applyFont="1" applyFill="1" applyBorder="1"/>
    <xf numFmtId="0" fontId="1" fillId="2" borderId="10" xfId="0" applyFont="1" applyFill="1" applyBorder="1"/>
    <xf numFmtId="0" fontId="13" fillId="3" borderId="11" xfId="0" applyFont="1" applyFill="1" applyBorder="1"/>
    <xf numFmtId="0" fontId="1" fillId="3" borderId="4" xfId="0" applyFont="1" applyFill="1" applyBorder="1" applyAlignment="1">
      <alignment horizontal="left" vertical="center"/>
    </xf>
    <xf numFmtId="0" fontId="1" fillId="3" borderId="5" xfId="0" applyFont="1" applyFill="1" applyBorder="1"/>
    <xf numFmtId="0" fontId="13" fillId="3" borderId="5" xfId="0" applyFont="1" applyFill="1" applyBorder="1"/>
    <xf numFmtId="0" fontId="1" fillId="2" borderId="5" xfId="0" applyFont="1" applyFill="1" applyBorder="1"/>
    <xf numFmtId="0" fontId="13" fillId="3" borderId="6" xfId="0" applyFont="1" applyFill="1" applyBorder="1"/>
    <xf numFmtId="0" fontId="0" fillId="10" borderId="0" xfId="0" applyFill="1"/>
    <xf numFmtId="0" fontId="13" fillId="10" borderId="0" xfId="0" applyFont="1" applyFill="1"/>
    <xf numFmtId="0" fontId="1" fillId="10" borderId="0" xfId="0" applyFont="1" applyFill="1"/>
    <xf numFmtId="0" fontId="12" fillId="10" borderId="0" xfId="0" applyFont="1" applyFill="1"/>
    <xf numFmtId="0" fontId="17" fillId="10" borderId="0" xfId="0" applyFont="1" applyFill="1" applyBorder="1" applyAlignment="1"/>
    <xf numFmtId="0" fontId="19" fillId="10" borderId="0" xfId="0" applyFont="1" applyFill="1" applyBorder="1"/>
    <xf numFmtId="0" fontId="13" fillId="10" borderId="0" xfId="0" applyFont="1" applyFill="1" applyBorder="1"/>
    <xf numFmtId="0" fontId="17" fillId="10" borderId="0" xfId="0" applyFont="1" applyFill="1" applyAlignment="1"/>
    <xf numFmtId="0" fontId="19" fillId="10" borderId="0" xfId="0" applyFont="1" applyFill="1"/>
    <xf numFmtId="0" fontId="0" fillId="5" borderId="7" xfId="0" applyFill="1" applyBorder="1"/>
    <xf numFmtId="0" fontId="0" fillId="5" borderId="0" xfId="0" applyFont="1" applyFill="1" applyBorder="1"/>
    <xf numFmtId="0" fontId="13" fillId="5" borderId="0" xfId="0" applyFont="1" applyFill="1" applyBorder="1"/>
    <xf numFmtId="0" fontId="13" fillId="5" borderId="8" xfId="0" applyFont="1" applyFill="1" applyBorder="1"/>
    <xf numFmtId="168" fontId="0" fillId="5" borderId="0" xfId="0" applyNumberFormat="1" applyFont="1" applyFill="1" applyBorder="1"/>
    <xf numFmtId="11" fontId="0" fillId="5" borderId="0" xfId="0" applyNumberFormat="1" applyFont="1" applyFill="1" applyBorder="1"/>
    <xf numFmtId="0" fontId="19" fillId="5" borderId="0" xfId="0" applyFont="1" applyFill="1" applyBorder="1"/>
    <xf numFmtId="0" fontId="19" fillId="5" borderId="8" xfId="0" applyFont="1" applyFill="1" applyBorder="1"/>
    <xf numFmtId="2" fontId="0" fillId="5" borderId="0" xfId="0" applyNumberFormat="1" applyFont="1" applyFill="1" applyBorder="1"/>
    <xf numFmtId="0" fontId="1" fillId="3" borderId="7" xfId="0" applyFont="1" applyFill="1" applyBorder="1"/>
    <xf numFmtId="168" fontId="0" fillId="3" borderId="0" xfId="0" applyNumberFormat="1" applyFont="1" applyFill="1" applyBorder="1"/>
    <xf numFmtId="11" fontId="0" fillId="3" borderId="0" xfId="0" applyNumberFormat="1" applyFont="1" applyFill="1" applyBorder="1"/>
    <xf numFmtId="2" fontId="0" fillId="3" borderId="0" xfId="0" applyNumberFormat="1" applyFont="1" applyFill="1" applyBorder="1"/>
    <xf numFmtId="0" fontId="1" fillId="3" borderId="9" xfId="0" applyFont="1" applyFill="1" applyBorder="1"/>
    <xf numFmtId="2" fontId="0" fillId="3" borderId="10" xfId="0" applyNumberFormat="1" applyFont="1" applyFill="1" applyBorder="1"/>
    <xf numFmtId="0" fontId="19" fillId="3" borderId="10" xfId="0" applyFont="1" applyFill="1" applyBorder="1"/>
    <xf numFmtId="0" fontId="19" fillId="3" borderId="11" xfId="0" applyFont="1" applyFill="1" applyBorder="1"/>
    <xf numFmtId="0" fontId="1" fillId="5" borderId="7" xfId="0" applyFont="1" applyFill="1" applyBorder="1"/>
    <xf numFmtId="0" fontId="0" fillId="5" borderId="0" xfId="0" applyFill="1" applyBorder="1"/>
    <xf numFmtId="0" fontId="0" fillId="5" borderId="9" xfId="0" applyFill="1" applyBorder="1"/>
    <xf numFmtId="0" fontId="0" fillId="5" borderId="10" xfId="0" applyFill="1" applyBorder="1"/>
    <xf numFmtId="166" fontId="4" fillId="8" borderId="0" xfId="0" applyNumberFormat="1" applyFont="1" applyFill="1" applyBorder="1" applyAlignment="1"/>
    <xf numFmtId="43" fontId="4" fillId="8" borderId="0" xfId="2" applyFont="1" applyFill="1" applyBorder="1" applyAlignment="1"/>
    <xf numFmtId="0" fontId="17" fillId="8" borderId="8" xfId="0" applyFont="1" applyFill="1" applyBorder="1" applyAlignment="1">
      <alignment horizontal="left"/>
    </xf>
    <xf numFmtId="2" fontId="5" fillId="7" borderId="0" xfId="0" applyNumberFormat="1" applyFont="1" applyFill="1" applyBorder="1"/>
    <xf numFmtId="0" fontId="17" fillId="7" borderId="8" xfId="0" applyFont="1" applyFill="1" applyBorder="1" applyAlignment="1">
      <alignment horizontal="left"/>
    </xf>
    <xf numFmtId="0" fontId="5" fillId="7" borderId="0" xfId="0" applyFont="1" applyFill="1" applyBorder="1"/>
    <xf numFmtId="0" fontId="4" fillId="8" borderId="0" xfId="0" applyFont="1" applyFill="1" applyBorder="1"/>
    <xf numFmtId="0" fontId="0" fillId="2" borderId="0" xfId="0" applyFont="1" applyFill="1" applyBorder="1"/>
    <xf numFmtId="0" fontId="13" fillId="5" borderId="8" xfId="0" applyFont="1" applyFill="1" applyBorder="1" applyAlignment="1">
      <alignment horizontal="left"/>
    </xf>
    <xf numFmtId="0" fontId="0" fillId="5" borderId="11" xfId="0" applyFill="1" applyBorder="1" applyAlignment="1">
      <alignment horizontal="left"/>
    </xf>
    <xf numFmtId="167" fontId="0" fillId="5" borderId="0" xfId="0" applyNumberFormat="1" applyFont="1" applyFill="1" applyBorder="1"/>
    <xf numFmtId="2" fontId="21" fillId="8" borderId="0" xfId="0" applyNumberFormat="1" applyFont="1" applyFill="1"/>
    <xf numFmtId="0" fontId="0" fillId="5" borderId="0" xfId="0" applyFill="1" applyAlignment="1">
      <alignment horizontal="left" vertical="center"/>
    </xf>
    <xf numFmtId="11" fontId="1" fillId="5" borderId="0" xfId="0" applyNumberFormat="1" applyFont="1" applyFill="1"/>
    <xf numFmtId="0" fontId="19" fillId="5" borderId="0" xfId="0" applyFont="1" applyFill="1"/>
    <xf numFmtId="0" fontId="0" fillId="10" borderId="0" xfId="0" applyFill="1" applyAlignment="1">
      <alignment horizontal="left" vertical="center"/>
    </xf>
    <xf numFmtId="11" fontId="1" fillId="10" borderId="0" xfId="0" applyNumberFormat="1" applyFont="1" applyFill="1"/>
    <xf numFmtId="1" fontId="1" fillId="10" borderId="0" xfId="0" applyNumberFormat="1" applyFont="1" applyFill="1"/>
    <xf numFmtId="0" fontId="14" fillId="7" borderId="7" xfId="0" applyFont="1" applyFill="1" applyBorder="1"/>
    <xf numFmtId="164" fontId="14" fillId="7" borderId="0" xfId="2" applyNumberFormat="1" applyFont="1" applyFill="1" applyBorder="1"/>
    <xf numFmtId="0" fontId="26" fillId="7" borderId="8" xfId="0" applyFont="1" applyFill="1" applyBorder="1" applyAlignment="1">
      <alignment horizontal="left"/>
    </xf>
    <xf numFmtId="0" fontId="4" fillId="7" borderId="7" xfId="0" applyFont="1" applyFill="1" applyBorder="1"/>
    <xf numFmtId="164" fontId="4" fillId="7" borderId="0" xfId="2" applyNumberFormat="1" applyFont="1" applyFill="1" applyBorder="1"/>
    <xf numFmtId="0" fontId="17" fillId="9" borderId="5" xfId="0" applyFont="1" applyFill="1" applyBorder="1" applyAlignment="1">
      <alignment horizontal="center" vertical="center"/>
    </xf>
    <xf numFmtId="0" fontId="17" fillId="9" borderId="5" xfId="0" applyFont="1" applyFill="1" applyBorder="1" applyAlignment="1">
      <alignment vertical="center"/>
    </xf>
    <xf numFmtId="0" fontId="17" fillId="9" borderId="6" xfId="0" applyFont="1" applyFill="1" applyBorder="1" applyAlignment="1">
      <alignment vertical="center"/>
    </xf>
    <xf numFmtId="0" fontId="17" fillId="9" borderId="0" xfId="0" applyFont="1" applyFill="1" applyAlignment="1">
      <alignment vertical="center"/>
    </xf>
    <xf numFmtId="164" fontId="4" fillId="7" borderId="0" xfId="0" applyNumberFormat="1" applyFont="1" applyFill="1" applyBorder="1"/>
    <xf numFmtId="171" fontId="4" fillId="7" borderId="0" xfId="0" applyNumberFormat="1" applyFont="1" applyFill="1" applyBorder="1"/>
    <xf numFmtId="2" fontId="11" fillId="7" borderId="0" xfId="0" applyNumberFormat="1" applyFont="1" applyFill="1" applyBorder="1"/>
    <xf numFmtId="0" fontId="1" fillId="7" borderId="9" xfId="0" applyFont="1" applyFill="1" applyBorder="1"/>
    <xf numFmtId="165" fontId="1" fillId="7" borderId="10" xfId="0" applyNumberFormat="1" applyFont="1" applyFill="1" applyBorder="1"/>
    <xf numFmtId="164" fontId="1" fillId="7" borderId="10" xfId="2" applyNumberFormat="1" applyFont="1" applyFill="1" applyBorder="1"/>
    <xf numFmtId="0" fontId="13" fillId="7" borderId="11" xfId="0" applyFont="1" applyFill="1" applyBorder="1" applyAlignment="1">
      <alignment horizontal="left"/>
    </xf>
    <xf numFmtId="0" fontId="9" fillId="7" borderId="7" xfId="0" applyFont="1" applyFill="1" applyBorder="1"/>
    <xf numFmtId="165" fontId="9" fillId="7" borderId="0" xfId="0" applyNumberFormat="1" applyFont="1" applyFill="1" applyBorder="1"/>
    <xf numFmtId="164" fontId="9" fillId="7" borderId="0" xfId="2" applyNumberFormat="1" applyFont="1" applyFill="1" applyBorder="1"/>
    <xf numFmtId="0" fontId="9" fillId="7" borderId="8" xfId="0" applyFont="1" applyFill="1" applyBorder="1" applyAlignment="1">
      <alignment horizontal="left"/>
    </xf>
    <xf numFmtId="0" fontId="6" fillId="0" borderId="0" xfId="0" applyFont="1" applyAlignment="1">
      <alignment wrapText="1"/>
    </xf>
    <xf numFmtId="0" fontId="27" fillId="0" borderId="0" xfId="0" applyFont="1"/>
    <xf numFmtId="164" fontId="0" fillId="10" borderId="0" xfId="0" applyNumberFormat="1" applyFill="1"/>
    <xf numFmtId="0" fontId="17" fillId="9" borderId="5" xfId="0" applyFont="1" applyFill="1" applyBorder="1" applyAlignment="1">
      <alignment horizontal="right" vertical="center"/>
    </xf>
    <xf numFmtId="0" fontId="17" fillId="9" borderId="6" xfId="0" applyFont="1" applyFill="1" applyBorder="1" applyAlignment="1">
      <alignment horizontal="left" vertical="center"/>
    </xf>
    <xf numFmtId="0" fontId="1" fillId="2" borderId="2" xfId="0" applyFont="1" applyFill="1" applyBorder="1"/>
    <xf numFmtId="0" fontId="13" fillId="2" borderId="2" xfId="0" applyFont="1" applyFill="1" applyBorder="1"/>
    <xf numFmtId="0" fontId="13" fillId="2" borderId="3" xfId="0" applyFont="1" applyFill="1" applyBorder="1" applyAlignment="1">
      <alignment horizontal="left"/>
    </xf>
    <xf numFmtId="0" fontId="0" fillId="5" borderId="7" xfId="0" applyFont="1" applyFill="1" applyBorder="1"/>
    <xf numFmtId="0" fontId="17" fillId="11" borderId="0" xfId="0" applyFont="1" applyFill="1"/>
    <xf numFmtId="0" fontId="5" fillId="11" borderId="0" xfId="0" applyFont="1" applyFill="1"/>
    <xf numFmtId="0" fontId="6" fillId="11" borderId="0" xfId="0" applyFont="1" applyFill="1"/>
    <xf numFmtId="0" fontId="13" fillId="11" borderId="0" xfId="0" applyFont="1" applyFill="1"/>
    <xf numFmtId="169" fontId="13" fillId="11" borderId="0" xfId="0" applyNumberFormat="1" applyFont="1" applyFill="1"/>
    <xf numFmtId="164" fontId="13" fillId="11" borderId="0" xfId="0" applyNumberFormat="1" applyFont="1" applyFill="1"/>
    <xf numFmtId="0" fontId="1" fillId="11" borderId="0" xfId="0" applyFont="1" applyFill="1"/>
    <xf numFmtId="0" fontId="0" fillId="11" borderId="0" xfId="0" applyFill="1"/>
    <xf numFmtId="0" fontId="8" fillId="8" borderId="0" xfId="0" applyFont="1" applyFill="1"/>
    <xf numFmtId="0" fontId="13" fillId="2" borderId="0" xfId="0" applyFont="1" applyFill="1" applyAlignment="1">
      <alignment horizontal="center"/>
    </xf>
    <xf numFmtId="0" fontId="2" fillId="10" borderId="0" xfId="1" applyFill="1"/>
    <xf numFmtId="0" fontId="1" fillId="12" borderId="0" xfId="0" applyFont="1" applyFill="1" applyBorder="1" applyAlignment="1">
      <alignment vertical="center" wrapText="1"/>
    </xf>
    <xf numFmtId="0" fontId="29" fillId="12" borderId="0" xfId="0" applyFont="1" applyFill="1" applyBorder="1" applyAlignment="1">
      <alignment vertical="center" wrapText="1"/>
    </xf>
    <xf numFmtId="0" fontId="29" fillId="15" borderId="0" xfId="0" applyFont="1" applyFill="1" applyBorder="1" applyAlignment="1">
      <alignment vertical="center" wrapText="1"/>
    </xf>
    <xf numFmtId="0" fontId="1" fillId="13" borderId="0" xfId="0" applyFont="1" applyFill="1" applyBorder="1" applyAlignment="1">
      <alignment vertical="center" wrapText="1"/>
    </xf>
    <xf numFmtId="0" fontId="29" fillId="13" borderId="0" xfId="0" applyFont="1" applyFill="1" applyBorder="1" applyAlignment="1">
      <alignment vertical="center" wrapText="1"/>
    </xf>
    <xf numFmtId="0" fontId="29" fillId="16" borderId="0" xfId="0" applyFont="1" applyFill="1" applyBorder="1" applyAlignment="1">
      <alignment vertical="center" wrapText="1"/>
    </xf>
    <xf numFmtId="0" fontId="4" fillId="14" borderId="0" xfId="0" applyFont="1" applyFill="1" applyBorder="1" applyAlignment="1">
      <alignment horizontal="left" vertical="center" wrapText="1"/>
    </xf>
    <xf numFmtId="0" fontId="1" fillId="3" borderId="0" xfId="0" applyFont="1" applyFill="1" applyBorder="1" applyAlignment="1">
      <alignment horizontal="left" vertical="center" wrapText="1"/>
    </xf>
    <xf numFmtId="0" fontId="28" fillId="0" borderId="0" xfId="0" applyFont="1" applyAlignment="1">
      <alignment vertical="center"/>
    </xf>
    <xf numFmtId="0" fontId="30" fillId="0" borderId="0" xfId="0" applyFont="1" applyAlignment="1">
      <alignment wrapText="1"/>
    </xf>
    <xf numFmtId="9" fontId="2" fillId="10" borderId="0" xfId="1" applyNumberFormat="1" applyFill="1"/>
    <xf numFmtId="172" fontId="29" fillId="12" borderId="0" xfId="0" applyNumberFormat="1" applyFont="1" applyFill="1" applyBorder="1" applyAlignment="1">
      <alignment horizontal="left" vertical="center" wrapText="1"/>
    </xf>
    <xf numFmtId="0" fontId="29" fillId="13" borderId="0" xfId="0" applyFont="1" applyFill="1" applyBorder="1" applyAlignment="1">
      <alignment horizontal="left" vertical="center" wrapText="1"/>
    </xf>
    <xf numFmtId="0" fontId="6" fillId="10" borderId="0" xfId="0" applyFont="1" applyFill="1" applyAlignment="1">
      <alignment vertical="top"/>
    </xf>
    <xf numFmtId="0" fontId="17" fillId="9" borderId="0" xfId="0" applyFont="1" applyFill="1" applyAlignment="1">
      <alignment horizontal="right" vertical="center"/>
    </xf>
    <xf numFmtId="0" fontId="33" fillId="3" borderId="0" xfId="0" applyFont="1" applyFill="1" applyBorder="1" applyAlignment="1">
      <alignment vertical="center" wrapText="1"/>
    </xf>
    <xf numFmtId="0" fontId="8" fillId="9" borderId="4" xfId="0" applyFont="1" applyFill="1" applyBorder="1" applyAlignment="1">
      <alignment vertical="center"/>
    </xf>
    <xf numFmtId="0" fontId="4" fillId="9" borderId="5" xfId="0" applyFont="1" applyFill="1" applyBorder="1" applyAlignment="1">
      <alignment vertical="center"/>
    </xf>
    <xf numFmtId="0" fontId="8" fillId="9" borderId="0" xfId="0" applyFont="1" applyFill="1" applyAlignment="1">
      <alignment vertical="center"/>
    </xf>
    <xf numFmtId="0" fontId="1" fillId="6" borderId="0" xfId="0" applyFont="1" applyFill="1" applyAlignment="1">
      <alignment vertical="center"/>
    </xf>
    <xf numFmtId="0" fontId="0" fillId="6" borderId="0" xfId="0" applyFill="1" applyAlignment="1">
      <alignment vertical="center"/>
    </xf>
    <xf numFmtId="0" fontId="13" fillId="6" borderId="0" xfId="0" applyFont="1" applyFill="1" applyAlignment="1">
      <alignment horizontal="center" vertical="center"/>
    </xf>
    <xf numFmtId="0" fontId="36" fillId="7" borderId="7" xfId="0" applyFont="1" applyFill="1" applyBorder="1"/>
    <xf numFmtId="2" fontId="37" fillId="7" borderId="0" xfId="0" applyNumberFormat="1" applyFont="1" applyFill="1" applyBorder="1"/>
    <xf numFmtId="164" fontId="36" fillId="7" borderId="0" xfId="2" applyNumberFormat="1" applyFont="1" applyFill="1" applyBorder="1"/>
    <xf numFmtId="0" fontId="36" fillId="7" borderId="8" xfId="0" applyFont="1" applyFill="1" applyBorder="1" applyAlignment="1">
      <alignment horizontal="left"/>
    </xf>
    <xf numFmtId="2" fontId="36" fillId="7" borderId="0" xfId="0" applyNumberFormat="1" applyFont="1" applyFill="1" applyBorder="1"/>
    <xf numFmtId="170" fontId="36" fillId="7" borderId="0" xfId="2" applyNumberFormat="1" applyFont="1" applyFill="1" applyBorder="1"/>
    <xf numFmtId="0" fontId="34" fillId="7" borderId="7" xfId="0" applyFont="1" applyFill="1" applyBorder="1" applyAlignment="1">
      <alignment vertical="center"/>
    </xf>
    <xf numFmtId="2" fontId="35" fillId="7" borderId="0" xfId="0" applyNumberFormat="1" applyFont="1" applyFill="1" applyBorder="1" applyAlignment="1">
      <alignment vertical="center"/>
    </xf>
    <xf numFmtId="164" fontId="34" fillId="7" borderId="0" xfId="2" applyNumberFormat="1" applyFont="1" applyFill="1" applyBorder="1" applyAlignment="1">
      <alignment vertical="center"/>
    </xf>
    <xf numFmtId="0" fontId="34" fillId="7" borderId="8" xfId="0" applyFont="1" applyFill="1" applyBorder="1" applyAlignment="1">
      <alignment horizontal="left" vertical="center"/>
    </xf>
    <xf numFmtId="165" fontId="13" fillId="11" borderId="0" xfId="0" applyNumberFormat="1" applyFont="1" applyFill="1"/>
    <xf numFmtId="0" fontId="4" fillId="4" borderId="0" xfId="0" applyFont="1" applyFill="1"/>
    <xf numFmtId="0" fontId="17" fillId="4" borderId="0" xfId="0" applyFont="1" applyFill="1" applyAlignment="1">
      <alignment horizontal="center"/>
    </xf>
    <xf numFmtId="0" fontId="0" fillId="0" borderId="0" xfId="0" applyAlignment="1">
      <alignment vertical="center" wrapText="1"/>
    </xf>
    <xf numFmtId="0" fontId="0" fillId="0" borderId="0" xfId="0" applyFill="1"/>
    <xf numFmtId="0" fontId="0" fillId="17" borderId="0" xfId="0" applyFill="1"/>
    <xf numFmtId="0" fontId="0" fillId="18" borderId="0" xfId="0" applyFill="1"/>
    <xf numFmtId="0" fontId="1" fillId="18" borderId="0" xfId="0" applyFont="1" applyFill="1"/>
    <xf numFmtId="0" fontId="39" fillId="18" borderId="0" xfId="0" applyFont="1" applyFill="1"/>
    <xf numFmtId="0" fontId="1" fillId="17" borderId="0" xfId="0" applyFont="1" applyFill="1"/>
    <xf numFmtId="0" fontId="0" fillId="19" borderId="0" xfId="0" applyFill="1"/>
    <xf numFmtId="0" fontId="0" fillId="20" borderId="0" xfId="0" applyFill="1"/>
    <xf numFmtId="0" fontId="42" fillId="18" borderId="0" xfId="0" applyFont="1" applyFill="1"/>
    <xf numFmtId="11" fontId="0" fillId="18" borderId="0" xfId="0" applyNumberFormat="1" applyFill="1"/>
    <xf numFmtId="0" fontId="42" fillId="17" borderId="0" xfId="0" applyFont="1" applyFill="1"/>
    <xf numFmtId="11" fontId="0" fillId="17" borderId="0" xfId="0" applyNumberFormat="1" applyFill="1"/>
    <xf numFmtId="0" fontId="42" fillId="19" borderId="0" xfId="0" applyFont="1" applyFill="1"/>
    <xf numFmtId="0" fontId="1" fillId="0" borderId="2" xfId="0" applyFont="1" applyBorder="1" applyAlignment="1">
      <alignment horizontal="center" vertical="center"/>
    </xf>
    <xf numFmtId="1" fontId="0" fillId="0" borderId="0" xfId="0" applyNumberFormat="1" applyFont="1" applyAlignment="1">
      <alignment horizontal="center" vertical="center"/>
    </xf>
    <xf numFmtId="1" fontId="0" fillId="0" borderId="10" xfId="0" applyNumberFormat="1" applyFont="1" applyBorder="1" applyAlignment="1">
      <alignment horizontal="center" vertical="center"/>
    </xf>
    <xf numFmtId="0" fontId="0" fillId="0" borderId="5" xfId="0" applyFont="1" applyBorder="1" applyAlignment="1">
      <alignment horizontal="left" vertical="center"/>
    </xf>
    <xf numFmtId="0" fontId="11" fillId="0" borderId="0" xfId="0" applyFont="1" applyAlignment="1">
      <alignment horizontal="left" vertical="center"/>
    </xf>
    <xf numFmtId="0" fontId="0" fillId="0" borderId="0" xfId="0" applyFont="1" applyAlignment="1">
      <alignment horizontal="left" vertical="center"/>
    </xf>
    <xf numFmtId="0" fontId="0" fillId="0" borderId="10" xfId="0" applyFont="1" applyBorder="1" applyAlignment="1">
      <alignment horizontal="left" vertical="center"/>
    </xf>
    <xf numFmtId="0" fontId="0" fillId="21" borderId="0" xfId="0" applyFill="1" applyAlignment="1">
      <alignment horizontal="left" vertical="center"/>
    </xf>
    <xf numFmtId="0" fontId="0" fillId="0" borderId="13" xfId="0" applyBorder="1"/>
    <xf numFmtId="0" fontId="0" fillId="0" borderId="14" xfId="0" applyBorder="1"/>
    <xf numFmtId="0" fontId="0" fillId="0" borderId="15" xfId="0" applyBorder="1"/>
    <xf numFmtId="0" fontId="0" fillId="0" borderId="0" xfId="0" applyBorder="1"/>
    <xf numFmtId="0" fontId="0" fillId="0" borderId="16" xfId="0" applyBorder="1"/>
    <xf numFmtId="0" fontId="39" fillId="0" borderId="15" xfId="0" applyFont="1" applyBorder="1"/>
    <xf numFmtId="2" fontId="0" fillId="0" borderId="0" xfId="0" applyNumberFormat="1" applyBorder="1"/>
    <xf numFmtId="0" fontId="42" fillId="0" borderId="15" xfId="0" applyFont="1" applyBorder="1"/>
    <xf numFmtId="1" fontId="0" fillId="0" borderId="0" xfId="0" applyNumberFormat="1" applyBorder="1"/>
    <xf numFmtId="0" fontId="0" fillId="7" borderId="15" xfId="0" applyFill="1" applyBorder="1"/>
    <xf numFmtId="1" fontId="0" fillId="7" borderId="0" xfId="0" applyNumberFormat="1" applyFill="1" applyBorder="1"/>
    <xf numFmtId="0" fontId="0" fillId="7" borderId="0" xfId="0" applyFill="1" applyBorder="1"/>
    <xf numFmtId="2" fontId="0" fillId="7" borderId="0" xfId="0" applyNumberFormat="1" applyFill="1" applyBorder="1"/>
    <xf numFmtId="0" fontId="42" fillId="0" borderId="17" xfId="0" applyFont="1" applyBorder="1"/>
    <xf numFmtId="0" fontId="0" fillId="0" borderId="18" xfId="0" applyBorder="1"/>
    <xf numFmtId="0" fontId="0" fillId="0" borderId="19" xfId="0" applyBorder="1"/>
    <xf numFmtId="0" fontId="9" fillId="0" borderId="12" xfId="0" applyFont="1" applyBorder="1"/>
    <xf numFmtId="0" fontId="0" fillId="0" borderId="0" xfId="0" applyFill="1" applyBorder="1"/>
    <xf numFmtId="0" fontId="0" fillId="0" borderId="12" xfId="0" applyBorder="1"/>
    <xf numFmtId="2" fontId="0" fillId="0" borderId="13" xfId="0" applyNumberFormat="1" applyBorder="1"/>
    <xf numFmtId="0" fontId="0" fillId="22" borderId="0" xfId="0" applyFill="1"/>
    <xf numFmtId="2" fontId="0" fillId="22" borderId="0" xfId="0" applyNumberFormat="1" applyFill="1"/>
    <xf numFmtId="0" fontId="1" fillId="22" borderId="0" xfId="0" applyFont="1" applyFill="1"/>
    <xf numFmtId="0" fontId="44" fillId="0" borderId="0" xfId="0" applyFont="1" applyAlignment="1"/>
    <xf numFmtId="0" fontId="0" fillId="0" borderId="15" xfId="0" applyFill="1" applyBorder="1"/>
    <xf numFmtId="0" fontId="0" fillId="23" borderId="0" xfId="0" applyFill="1"/>
    <xf numFmtId="0" fontId="1" fillId="23" borderId="0" xfId="0" applyFont="1" applyFill="1"/>
    <xf numFmtId="0" fontId="42" fillId="23" borderId="0" xfId="0" applyFont="1" applyFill="1"/>
    <xf numFmtId="0" fontId="0" fillId="24" borderId="0" xfId="0" applyFill="1"/>
    <xf numFmtId="11" fontId="0" fillId="0" borderId="0" xfId="0" applyNumberFormat="1" applyBorder="1"/>
    <xf numFmtId="0" fontId="0" fillId="0" borderId="0" xfId="0" applyAlignment="1">
      <alignment horizontal="center" vertical="center" textRotation="90" wrapText="1"/>
    </xf>
    <xf numFmtId="0" fontId="0" fillId="0" borderId="0" xfId="0" applyAlignment="1">
      <alignment horizontal="center" vertical="center" textRotation="90"/>
    </xf>
    <xf numFmtId="0" fontId="29" fillId="0" borderId="0" xfId="0" applyFont="1" applyAlignment="1">
      <alignment horizontal="center" vertical="center"/>
    </xf>
    <xf numFmtId="0" fontId="0" fillId="0" borderId="0" xfId="0" applyAlignment="1">
      <alignment horizontal="center" vertical="center"/>
    </xf>
    <xf numFmtId="165" fontId="0" fillId="0" borderId="0" xfId="0" applyNumberFormat="1" applyAlignment="1">
      <alignment horizontal="center" vertical="center"/>
    </xf>
    <xf numFmtId="173" fontId="0" fillId="0" borderId="0" xfId="0" applyNumberFormat="1" applyAlignment="1">
      <alignment horizontal="center" vertical="center"/>
    </xf>
    <xf numFmtId="2" fontId="0" fillId="0" borderId="0" xfId="0" applyNumberFormat="1" applyAlignment="1">
      <alignment horizontal="center" vertical="center"/>
    </xf>
    <xf numFmtId="1" fontId="0" fillId="0" borderId="0" xfId="0" applyNumberFormat="1" applyAlignment="1">
      <alignment horizontal="center" vertical="center"/>
    </xf>
    <xf numFmtId="0" fontId="0" fillId="5" borderId="0" xfId="0" applyFill="1" applyAlignment="1">
      <alignment horizontal="center" vertical="center"/>
    </xf>
    <xf numFmtId="10" fontId="0" fillId="0" borderId="18" xfId="0" applyNumberFormat="1" applyBorder="1"/>
    <xf numFmtId="174" fontId="0" fillId="0" borderId="18" xfId="0" applyNumberFormat="1" applyBorder="1"/>
    <xf numFmtId="0" fontId="1" fillId="0" borderId="18" xfId="0" applyFont="1" applyBorder="1" applyAlignment="1">
      <alignment horizontal="center"/>
    </xf>
    <xf numFmtId="0" fontId="0" fillId="17" borderId="0" xfId="0" applyFill="1" applyAlignment="1">
      <alignment horizontal="center"/>
    </xf>
    <xf numFmtId="0" fontId="0" fillId="20" borderId="0" xfId="0" applyFill="1" applyAlignment="1">
      <alignment horizontal="center"/>
    </xf>
    <xf numFmtId="0" fontId="0" fillId="25" borderId="0" xfId="0" applyFill="1" applyAlignment="1">
      <alignment horizontal="center"/>
    </xf>
    <xf numFmtId="0" fontId="42" fillId="25" borderId="17" xfId="0" applyFont="1" applyFill="1" applyBorder="1" applyAlignment="1">
      <alignment horizontal="center"/>
    </xf>
    <xf numFmtId="10" fontId="0" fillId="25" borderId="18" xfId="0" applyNumberFormat="1" applyFill="1" applyBorder="1" applyAlignment="1">
      <alignment horizontal="center"/>
    </xf>
    <xf numFmtId="0" fontId="0" fillId="25" borderId="18" xfId="0" applyFill="1" applyBorder="1" applyAlignment="1">
      <alignment horizontal="center"/>
    </xf>
    <xf numFmtId="9" fontId="0" fillId="25" borderId="18" xfId="0" applyNumberFormat="1" applyFill="1" applyBorder="1" applyAlignment="1">
      <alignment horizontal="center"/>
    </xf>
    <xf numFmtId="1" fontId="0" fillId="25" borderId="0" xfId="0" applyNumberFormat="1" applyFill="1" applyAlignment="1">
      <alignment horizontal="center"/>
    </xf>
    <xf numFmtId="1" fontId="0" fillId="20" borderId="0" xfId="0" applyNumberFormat="1" applyFill="1" applyAlignment="1">
      <alignment horizontal="center"/>
    </xf>
    <xf numFmtId="0" fontId="1" fillId="0" borderId="0" xfId="0" applyFont="1" applyAlignment="1">
      <alignment horizontal="left" vertical="center"/>
    </xf>
    <xf numFmtId="10" fontId="0" fillId="0" borderId="0" xfId="0" applyNumberFormat="1" applyAlignment="1">
      <alignment horizontal="center" vertical="center"/>
    </xf>
    <xf numFmtId="9" fontId="0" fillId="0" borderId="0" xfId="0" applyNumberFormat="1" applyAlignment="1">
      <alignment horizontal="center" vertical="center"/>
    </xf>
    <xf numFmtId="0" fontId="1" fillId="0" borderId="18" xfId="0" applyFont="1" applyBorder="1" applyAlignment="1">
      <alignment horizontal="left" vertical="center"/>
    </xf>
    <xf numFmtId="0" fontId="1" fillId="0" borderId="20" xfId="0" applyFont="1" applyBorder="1" applyAlignment="1">
      <alignment horizontal="left" vertical="center"/>
    </xf>
    <xf numFmtId="0" fontId="1" fillId="0" borderId="20" xfId="0" applyFont="1" applyBorder="1" applyAlignment="1">
      <alignment horizontal="center" vertical="center"/>
    </xf>
    <xf numFmtId="0" fontId="0" fillId="0" borderId="18" xfId="0" applyBorder="1" applyAlignment="1">
      <alignment horizontal="center" vertical="center"/>
    </xf>
    <xf numFmtId="0" fontId="9" fillId="5" borderId="0" xfId="0" applyFont="1" applyFill="1" applyAlignment="1">
      <alignment horizontal="center" vertical="center"/>
    </xf>
    <xf numFmtId="0" fontId="6" fillId="5" borderId="0" xfId="0" applyFont="1" applyFill="1" applyAlignment="1">
      <alignment horizontal="left" vertical="center" wrapText="1"/>
    </xf>
    <xf numFmtId="164" fontId="1" fillId="0" borderId="0" xfId="0" applyNumberFormat="1" applyFont="1" applyAlignment="1">
      <alignment horizontal="center"/>
    </xf>
    <xf numFmtId="0" fontId="8" fillId="9" borderId="4" xfId="0" applyFont="1" applyFill="1" applyBorder="1" applyAlignment="1">
      <alignment horizontal="left" vertical="center"/>
    </xf>
    <xf numFmtId="0" fontId="8" fillId="9" borderId="5" xfId="0" applyFont="1" applyFill="1" applyBorder="1" applyAlignment="1">
      <alignment horizontal="left" vertical="center"/>
    </xf>
    <xf numFmtId="0" fontId="8" fillId="9" borderId="7" xfId="0" applyFont="1" applyFill="1" applyBorder="1" applyAlignment="1">
      <alignment horizontal="left" vertical="center"/>
    </xf>
    <xf numFmtId="0" fontId="8" fillId="9" borderId="0" xfId="0" applyFont="1" applyFill="1" applyBorder="1" applyAlignment="1">
      <alignment horizontal="left" vertical="center"/>
    </xf>
    <xf numFmtId="0" fontId="17" fillId="9" borderId="5" xfId="0" applyFont="1" applyFill="1" applyBorder="1" applyAlignment="1">
      <alignment horizontal="right" vertical="center"/>
    </xf>
    <xf numFmtId="0" fontId="17" fillId="9" borderId="0" xfId="0" applyFont="1" applyFill="1" applyBorder="1" applyAlignment="1">
      <alignment horizontal="right" vertical="center"/>
    </xf>
    <xf numFmtId="0" fontId="17" fillId="9" borderId="6" xfId="0" applyFont="1" applyFill="1" applyBorder="1" applyAlignment="1">
      <alignment horizontal="left" vertical="center"/>
    </xf>
    <xf numFmtId="0" fontId="17" fillId="9" borderId="8" xfId="0" applyFont="1" applyFill="1" applyBorder="1" applyAlignment="1">
      <alignment horizontal="left" vertical="center"/>
    </xf>
    <xf numFmtId="0" fontId="0" fillId="10" borderId="0" xfId="0" applyFill="1" applyAlignment="1">
      <alignment horizontal="left" vertical="top" wrapText="1"/>
    </xf>
    <xf numFmtId="164" fontId="0" fillId="0" borderId="0" xfId="0" applyNumberFormat="1" applyAlignment="1">
      <alignment horizontal="center"/>
    </xf>
    <xf numFmtId="0" fontId="0" fillId="0" borderId="0" xfId="0" applyAlignment="1">
      <alignment horizontal="center"/>
    </xf>
    <xf numFmtId="164" fontId="0" fillId="11" borderId="0" xfId="0" applyNumberFormat="1" applyFill="1" applyAlignment="1">
      <alignment horizontal="center"/>
    </xf>
    <xf numFmtId="0" fontId="28" fillId="10" borderId="0" xfId="0" applyFont="1" applyFill="1" applyAlignment="1">
      <alignment horizontal="center" vertical="center" wrapText="1"/>
    </xf>
    <xf numFmtId="0" fontId="28" fillId="0" borderId="0" xfId="0" applyFont="1" applyAlignment="1">
      <alignment horizontal="center" vertical="center" wrapText="1"/>
    </xf>
    <xf numFmtId="0" fontId="15" fillId="0" borderId="0" xfId="0" applyFont="1" applyAlignment="1">
      <alignment horizontal="left" vertical="top" wrapText="1"/>
    </xf>
    <xf numFmtId="0" fontId="15" fillId="0" borderId="0" xfId="0" applyFont="1" applyAlignment="1">
      <alignment horizontal="left" vertical="top"/>
    </xf>
    <xf numFmtId="0" fontId="23" fillId="0" borderId="0" xfId="0" applyFont="1" applyAlignment="1">
      <alignment horizontal="left" vertical="top" wrapText="1"/>
    </xf>
    <xf numFmtId="0" fontId="0" fillId="0" borderId="0" xfId="0" applyAlignment="1">
      <alignment horizontal="left" vertical="top" wrapText="1"/>
    </xf>
    <xf numFmtId="0" fontId="0" fillId="0" borderId="0" xfId="0" applyFill="1" applyAlignment="1">
      <alignment vertical="top" wrapText="1"/>
    </xf>
  </cellXfs>
  <cellStyles count="3">
    <cellStyle name="Ezres" xfId="2" builtinId="3"/>
    <cellStyle name="Hivatkozás" xfId="1" builtinId="8"/>
    <cellStyle name="Normál" xfId="0" builtinId="0"/>
  </cellStyles>
  <dxfs count="0"/>
  <tableStyles count="0" defaultTableStyle="TableStyleMedium2" defaultPivotStyle="PivotStyleLight16"/>
  <colors>
    <mruColors>
      <color rgb="FFFF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nei.org/Master-Document-Folder/Backgrounders/Fact-Sheets/Quick-Facts-Nuclear-Energy-In-America" TargetMode="External"/><Relationship Id="rId2" Type="http://schemas.openxmlformats.org/officeDocument/2006/relationships/hyperlink" Target="http://www.nrel.gov/csp/solarpaces/project_detail.cfm/projectID=62" TargetMode="External"/><Relationship Id="rId1" Type="http://schemas.openxmlformats.org/officeDocument/2006/relationships/hyperlink" Target="http://en.wikipedia.org/wiki/Horns_Rev_2" TargetMode="External"/><Relationship Id="rId6" Type="http://schemas.openxmlformats.org/officeDocument/2006/relationships/printerSettings" Target="../printerSettings/printerSettings2.bin"/><Relationship Id="rId5" Type="http://schemas.openxmlformats.org/officeDocument/2006/relationships/hyperlink" Target="http://en.wikipedia.org/wiki/Drax_power_station" TargetMode="External"/><Relationship Id="rId4" Type="http://schemas.openxmlformats.org/officeDocument/2006/relationships/hyperlink" Target="http://en.wikipedia.org/wiki/Coal_power_plant"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hu.wikipedia.org/wiki/Arany"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www.mpoweruk.com/thermoelectricity.htm" TargetMode="External"/><Relationship Id="rId3" Type="http://schemas.openxmlformats.org/officeDocument/2006/relationships/hyperlink" Target="ftp://ftp.energia.bme.hu/pub/bsc/4Termoelem-homerok1.pdf" TargetMode="External"/><Relationship Id="rId7" Type="http://schemas.openxmlformats.org/officeDocument/2006/relationships/hyperlink" Target="http://en.wikipedia.org/wiki/Ocean_heat_content" TargetMode="External"/><Relationship Id="rId2" Type="http://schemas.openxmlformats.org/officeDocument/2006/relationships/hyperlink" Target="http://www.electronics-cooling.com/2006/11/the-seebeck-coefficient/" TargetMode="External"/><Relationship Id="rId1" Type="http://schemas.openxmlformats.org/officeDocument/2006/relationships/hyperlink" Target="http://en.wikipedia.org/wiki/Seebeck_coefficient" TargetMode="External"/><Relationship Id="rId6" Type="http://schemas.openxmlformats.org/officeDocument/2006/relationships/hyperlink" Target="http://en.wikipedia.org/wiki/Electrical_resistivity_and_conductivity" TargetMode="External"/><Relationship Id="rId11" Type="http://schemas.openxmlformats.org/officeDocument/2006/relationships/hyperlink" Target="http://www.germanenergyblog.de/?page_id=16379" TargetMode="External"/><Relationship Id="rId5" Type="http://schemas.openxmlformats.org/officeDocument/2006/relationships/hyperlink" Target="http://www.electronics-cooling.com/2006/11/the-seebeck-coefficient/" TargetMode="External"/><Relationship Id="rId10" Type="http://schemas.openxmlformats.org/officeDocument/2006/relationships/hyperlink" Target="http://www.mekh.hu/hatosagi-arak-2/villamos-energia/kotelezo-atvetel.html" TargetMode="External"/><Relationship Id="rId4" Type="http://schemas.openxmlformats.org/officeDocument/2006/relationships/hyperlink" Target="http://www.omega.com/temperature/Z/pdf/z049-050.pdf" TargetMode="External"/><Relationship Id="rId9" Type="http://schemas.openxmlformats.org/officeDocument/2006/relationships/hyperlink" Target="http://www.gyakorikerdesek.hu/tudomanyok__egyeb-kerdesek__1843490-mi-a-kulonbseg-a-mw-es-a-mwh-kozott"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turbocristal.com/images/pdf/supercryst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7"/>
  <sheetViews>
    <sheetView tabSelected="1" zoomScale="90" zoomScaleNormal="90" workbookViewId="0">
      <selection activeCell="D31" sqref="D31"/>
    </sheetView>
  </sheetViews>
  <sheetFormatPr defaultRowHeight="15" x14ac:dyDescent="0.25"/>
  <cols>
    <col min="1" max="1" width="2.85546875" style="54" customWidth="1"/>
    <col min="2" max="2" width="46.85546875" customWidth="1"/>
    <col min="3" max="3" width="14" customWidth="1"/>
    <col min="4" max="4" width="6.28515625" customWidth="1"/>
    <col min="5" max="5" width="10.42578125" customWidth="1"/>
    <col min="6" max="6" width="6.85546875" customWidth="1"/>
    <col min="7" max="7" width="1.85546875" style="54" customWidth="1"/>
    <col min="8" max="8" width="3.140625" style="54" customWidth="1"/>
    <col min="9" max="9" width="1.85546875" style="54" customWidth="1"/>
    <col min="10" max="10" width="9.140625" customWidth="1"/>
    <col min="11" max="11" width="37.85546875" customWidth="1"/>
    <col min="12" max="12" width="21.42578125" customWidth="1"/>
    <col min="14" max="14" width="2.85546875" style="54" customWidth="1"/>
    <col min="15" max="15" width="17" customWidth="1"/>
    <col min="16" max="16" width="12.5703125" customWidth="1"/>
    <col min="20" max="20" width="20.7109375" customWidth="1"/>
    <col min="21" max="21" width="14.28515625" bestFit="1" customWidth="1"/>
    <col min="22" max="22" width="13.7109375" bestFit="1" customWidth="1"/>
  </cols>
  <sheetData>
    <row r="1" spans="2:22" s="54" customFormat="1" x14ac:dyDescent="0.25"/>
    <row r="2" spans="2:22" ht="24.75" customHeight="1" x14ac:dyDescent="0.3">
      <c r="B2" s="158" t="s">
        <v>287</v>
      </c>
      <c r="C2" s="33"/>
      <c r="D2" s="34"/>
      <c r="E2" s="107" t="s">
        <v>206</v>
      </c>
      <c r="F2" s="109" t="s">
        <v>282</v>
      </c>
      <c r="G2" s="58"/>
      <c r="H2" s="58"/>
      <c r="J2" s="260" t="s">
        <v>284</v>
      </c>
      <c r="K2" s="261"/>
      <c r="L2" s="264" t="s">
        <v>206</v>
      </c>
      <c r="M2" s="266" t="s">
        <v>282</v>
      </c>
      <c r="O2" s="257" t="s">
        <v>209</v>
      </c>
      <c r="P2" s="258" t="s">
        <v>210</v>
      </c>
      <c r="Q2" s="258"/>
      <c r="R2" s="54"/>
      <c r="S2" s="54"/>
    </row>
    <row r="3" spans="2:22" ht="18.75" customHeight="1" x14ac:dyDescent="0.25">
      <c r="B3" s="35" t="s">
        <v>211</v>
      </c>
      <c r="C3" s="36"/>
      <c r="D3" s="37"/>
      <c r="E3" s="38">
        <v>1.6779999999999999E-8</v>
      </c>
      <c r="F3" s="39" t="s">
        <v>0</v>
      </c>
      <c r="G3" s="59"/>
      <c r="H3" s="59"/>
      <c r="J3" s="262"/>
      <c r="K3" s="263"/>
      <c r="L3" s="265"/>
      <c r="M3" s="267"/>
      <c r="O3" s="257"/>
      <c r="P3" s="258"/>
      <c r="Q3" s="258"/>
      <c r="R3" s="54"/>
      <c r="S3" s="54"/>
    </row>
    <row r="4" spans="2:22" ht="15" customHeight="1" x14ac:dyDescent="0.25">
      <c r="B4" s="35" t="s">
        <v>239</v>
      </c>
      <c r="C4" s="40"/>
      <c r="D4" s="41"/>
      <c r="E4" s="42">
        <v>1.3</v>
      </c>
      <c r="F4" s="43" t="s">
        <v>40</v>
      </c>
      <c r="G4" s="60"/>
      <c r="H4" s="60"/>
      <c r="J4" s="80" t="s">
        <v>214</v>
      </c>
      <c r="K4" s="91" t="s">
        <v>483</v>
      </c>
      <c r="L4" s="81">
        <f>+VLOOKUP(K4,O5:P32,2,FALSE)</f>
        <v>1670</v>
      </c>
      <c r="M4" s="92" t="s">
        <v>68</v>
      </c>
      <c r="O4" s="18"/>
      <c r="P4" s="15"/>
      <c r="Q4" s="20"/>
      <c r="R4" s="54"/>
      <c r="S4" s="54"/>
      <c r="T4" t="s">
        <v>74</v>
      </c>
    </row>
    <row r="5" spans="2:22" ht="15" customHeight="1" x14ac:dyDescent="0.25">
      <c r="B5" s="35" t="s">
        <v>213</v>
      </c>
      <c r="C5" s="40"/>
      <c r="D5" s="41"/>
      <c r="E5" s="42">
        <v>0.5</v>
      </c>
      <c r="F5" s="43" t="s">
        <v>1</v>
      </c>
      <c r="G5" s="60"/>
      <c r="H5" s="60"/>
      <c r="J5" s="80" t="s">
        <v>215</v>
      </c>
      <c r="K5" s="91" t="s">
        <v>484</v>
      </c>
      <c r="L5" s="81">
        <f>+VLOOKUP(K5,O5:P32,2,FALSE)</f>
        <v>-1990</v>
      </c>
      <c r="M5" s="92" t="s">
        <v>68</v>
      </c>
      <c r="O5" s="175" t="s">
        <v>294</v>
      </c>
      <c r="P5" s="7">
        <v>1670</v>
      </c>
      <c r="Q5" s="176" t="s">
        <v>68</v>
      </c>
      <c r="R5" s="54"/>
      <c r="S5" s="54"/>
      <c r="U5">
        <f>1/1738</f>
        <v>5.7537399309551208E-4</v>
      </c>
      <c r="V5" s="14">
        <f>+U5</f>
        <v>5.7537399309551208E-4</v>
      </c>
    </row>
    <row r="6" spans="2:22" x14ac:dyDescent="0.25">
      <c r="B6" s="44" t="s">
        <v>238</v>
      </c>
      <c r="C6" s="45"/>
      <c r="D6" s="46"/>
      <c r="E6" s="47">
        <v>99</v>
      </c>
      <c r="F6" s="48" t="s">
        <v>178</v>
      </c>
      <c r="G6" s="60"/>
      <c r="H6" s="60"/>
      <c r="J6" s="82"/>
      <c r="K6" s="83"/>
      <c r="L6" s="83"/>
      <c r="M6" s="93"/>
      <c r="O6" s="4" t="s">
        <v>15</v>
      </c>
      <c r="P6" s="5">
        <v>900</v>
      </c>
      <c r="Q6" s="140" t="s">
        <v>68</v>
      </c>
      <c r="R6" s="54"/>
      <c r="S6" s="54"/>
      <c r="T6" t="s">
        <v>172</v>
      </c>
    </row>
    <row r="7" spans="2:22" x14ac:dyDescent="0.25">
      <c r="B7" s="32" t="s">
        <v>216</v>
      </c>
      <c r="C7" s="30"/>
      <c r="D7" s="31"/>
      <c r="E7" s="127">
        <f>+L7</f>
        <v>3660</v>
      </c>
      <c r="F7" s="128" t="s">
        <v>177</v>
      </c>
      <c r="G7" s="127"/>
      <c r="H7" s="127"/>
      <c r="I7" s="127"/>
      <c r="J7" s="127" t="s">
        <v>237</v>
      </c>
      <c r="K7" s="127"/>
      <c r="L7" s="127">
        <f>+MAX(L4:L5)-MIN(L4:L5)</f>
        <v>3660</v>
      </c>
      <c r="M7" s="129" t="s">
        <v>68</v>
      </c>
      <c r="O7" s="19" t="s">
        <v>16</v>
      </c>
      <c r="P7" s="11">
        <v>500</v>
      </c>
      <c r="Q7" s="20" t="s">
        <v>68</v>
      </c>
      <c r="R7" s="54"/>
      <c r="S7" s="54"/>
      <c r="T7" t="s">
        <v>14</v>
      </c>
      <c r="U7" t="s">
        <v>75</v>
      </c>
      <c r="V7" t="s">
        <v>77</v>
      </c>
    </row>
    <row r="8" spans="2:22" x14ac:dyDescent="0.25">
      <c r="B8" s="49" t="s">
        <v>217</v>
      </c>
      <c r="C8" s="50"/>
      <c r="D8" s="51"/>
      <c r="E8" s="52">
        <v>896</v>
      </c>
      <c r="F8" s="53" t="s">
        <v>11</v>
      </c>
      <c r="G8" s="60"/>
      <c r="H8" s="60"/>
      <c r="J8" s="54"/>
      <c r="K8" s="54"/>
      <c r="L8" s="54"/>
      <c r="M8" s="54"/>
      <c r="O8" s="19" t="s">
        <v>17</v>
      </c>
      <c r="P8" s="11">
        <v>440</v>
      </c>
      <c r="Q8" s="20" t="s">
        <v>68</v>
      </c>
      <c r="R8" s="54"/>
      <c r="S8" s="54"/>
      <c r="U8" t="s">
        <v>76</v>
      </c>
      <c r="V8" t="s">
        <v>78</v>
      </c>
    </row>
    <row r="9" spans="2:22" ht="24.75" customHeight="1" x14ac:dyDescent="0.25">
      <c r="B9" s="35" t="s">
        <v>303</v>
      </c>
      <c r="C9" s="40"/>
      <c r="D9" s="41"/>
      <c r="E9" s="38">
        <f>E20</f>
        <v>1.2641987905713628E-2</v>
      </c>
      <c r="F9" s="43" t="s">
        <v>3</v>
      </c>
      <c r="G9" s="60"/>
      <c r="H9" s="60"/>
      <c r="J9" s="158" t="s">
        <v>208</v>
      </c>
      <c r="K9" s="159"/>
      <c r="L9" s="107" t="s">
        <v>206</v>
      </c>
      <c r="M9" s="126" t="s">
        <v>282</v>
      </c>
      <c r="O9" s="161" t="s">
        <v>18</v>
      </c>
      <c r="P9" s="162">
        <v>330</v>
      </c>
      <c r="Q9" s="163" t="s">
        <v>68</v>
      </c>
      <c r="R9" s="54"/>
      <c r="S9" s="54"/>
      <c r="T9" t="s">
        <v>35</v>
      </c>
      <c r="U9" t="s">
        <v>79</v>
      </c>
      <c r="V9" t="s">
        <v>80</v>
      </c>
    </row>
    <row r="10" spans="2:22" x14ac:dyDescent="0.25">
      <c r="B10" s="44" t="s">
        <v>240</v>
      </c>
      <c r="C10" s="45"/>
      <c r="D10" s="46"/>
      <c r="E10" s="47">
        <v>33</v>
      </c>
      <c r="F10" s="48" t="s">
        <v>246</v>
      </c>
      <c r="G10" s="55"/>
      <c r="H10" s="16"/>
      <c r="I10" s="16"/>
      <c r="J10" s="90" t="s">
        <v>247</v>
      </c>
      <c r="K10" s="84"/>
      <c r="L10" s="85">
        <f>E26/10^3</f>
        <v>85.678358639345433</v>
      </c>
      <c r="M10" s="86" t="s">
        <v>173</v>
      </c>
      <c r="O10" s="19" t="s">
        <v>19</v>
      </c>
      <c r="P10" s="11">
        <v>47</v>
      </c>
      <c r="Q10" s="20" t="s">
        <v>68</v>
      </c>
      <c r="R10" s="54"/>
      <c r="S10" s="54"/>
      <c r="T10" t="s">
        <v>36</v>
      </c>
      <c r="U10" t="s">
        <v>81</v>
      </c>
      <c r="V10" t="s">
        <v>82</v>
      </c>
    </row>
    <row r="11" spans="2:22" ht="24.75" customHeight="1" x14ac:dyDescent="0.25">
      <c r="B11" s="54"/>
      <c r="C11" s="54"/>
      <c r="D11" s="55"/>
      <c r="E11" s="54"/>
      <c r="F11" s="55"/>
      <c r="G11" s="61"/>
      <c r="H11" s="16"/>
      <c r="J11" s="170" t="s">
        <v>248</v>
      </c>
      <c r="K11" s="171"/>
      <c r="L11" s="172">
        <f>L10*10^3</f>
        <v>85678.358639345432</v>
      </c>
      <c r="M11" s="173" t="s">
        <v>173</v>
      </c>
      <c r="O11" s="161" t="s">
        <v>20</v>
      </c>
      <c r="P11" s="162">
        <v>25</v>
      </c>
      <c r="Q11" s="163" t="s">
        <v>68</v>
      </c>
      <c r="R11" s="54"/>
      <c r="S11" s="54"/>
      <c r="T11" t="s">
        <v>83</v>
      </c>
      <c r="U11" t="s">
        <v>84</v>
      </c>
      <c r="V11" t="s">
        <v>85</v>
      </c>
    </row>
    <row r="12" spans="2:22" ht="18.75" x14ac:dyDescent="0.25">
      <c r="B12" s="158" t="s">
        <v>288</v>
      </c>
      <c r="C12" s="107" t="s">
        <v>206</v>
      </c>
      <c r="D12" s="108" t="s">
        <v>282</v>
      </c>
      <c r="E12" s="125" t="s">
        <v>207</v>
      </c>
      <c r="F12" s="109" t="s">
        <v>282</v>
      </c>
      <c r="G12" s="55"/>
      <c r="H12" s="16"/>
      <c r="J12" s="102" t="s">
        <v>249</v>
      </c>
      <c r="K12" s="113"/>
      <c r="L12" s="103">
        <f>L11*10^3</f>
        <v>85678358.639345437</v>
      </c>
      <c r="M12" s="104" t="s">
        <v>173</v>
      </c>
      <c r="O12" s="19" t="s">
        <v>21</v>
      </c>
      <c r="P12" s="11">
        <v>10</v>
      </c>
      <c r="Q12" s="20" t="s">
        <v>68</v>
      </c>
      <c r="R12" s="54"/>
      <c r="S12" s="54"/>
      <c r="T12" t="s">
        <v>37</v>
      </c>
      <c r="U12" t="s">
        <v>86</v>
      </c>
      <c r="V12" t="s">
        <v>87</v>
      </c>
    </row>
    <row r="13" spans="2:22" x14ac:dyDescent="0.25">
      <c r="B13" s="63" t="s">
        <v>212</v>
      </c>
      <c r="C13" s="64">
        <f>+E4/1000</f>
        <v>1.2999999999999999E-3</v>
      </c>
      <c r="D13" s="65" t="s">
        <v>1</v>
      </c>
      <c r="E13" s="64">
        <f>+E4/1000</f>
        <v>1.2999999999999999E-3</v>
      </c>
      <c r="F13" s="66" t="s">
        <v>1</v>
      </c>
      <c r="G13" s="55"/>
      <c r="H13" s="16"/>
      <c r="J13" s="164" t="s">
        <v>290</v>
      </c>
      <c r="K13" s="165"/>
      <c r="L13" s="166">
        <f>(L10*E29*3600)+((L10*E30*3600)/E31)</f>
        <v>2961044.0745757781</v>
      </c>
      <c r="M13" s="167" t="s">
        <v>192</v>
      </c>
      <c r="O13" s="19" t="s">
        <v>39</v>
      </c>
      <c r="P13" s="11">
        <v>7.5</v>
      </c>
      <c r="Q13" s="20" t="s">
        <v>68</v>
      </c>
      <c r="R13" s="54"/>
      <c r="S13" s="54"/>
      <c r="T13" t="s">
        <v>88</v>
      </c>
      <c r="U13" t="s">
        <v>89</v>
      </c>
      <c r="V13" t="s">
        <v>90</v>
      </c>
    </row>
    <row r="14" spans="2:22" x14ac:dyDescent="0.25">
      <c r="B14" s="63" t="s">
        <v>219</v>
      </c>
      <c r="C14" s="64">
        <f>+E5*2</f>
        <v>1</v>
      </c>
      <c r="D14" s="65" t="s">
        <v>1</v>
      </c>
      <c r="E14" s="64">
        <f>+E5*2</f>
        <v>1</v>
      </c>
      <c r="F14" s="66" t="s">
        <v>1</v>
      </c>
      <c r="G14" s="55"/>
      <c r="H14" s="16"/>
      <c r="J14" s="164" t="s">
        <v>289</v>
      </c>
      <c r="K14" s="168"/>
      <c r="L14" s="169">
        <f>((L10*E29*3600)+((L10*E30*3600)/E31))/10^6</f>
        <v>2.9610440745757782</v>
      </c>
      <c r="M14" s="167" t="s">
        <v>191</v>
      </c>
      <c r="O14" s="19" t="s">
        <v>38</v>
      </c>
      <c r="P14" s="11">
        <v>7.5</v>
      </c>
      <c r="Q14" s="20" t="s">
        <v>68</v>
      </c>
      <c r="R14" s="54"/>
      <c r="S14" s="54"/>
      <c r="T14" t="s">
        <v>91</v>
      </c>
      <c r="U14" t="s">
        <v>92</v>
      </c>
      <c r="V14" t="s">
        <v>93</v>
      </c>
    </row>
    <row r="15" spans="2:22" x14ac:dyDescent="0.25">
      <c r="B15" s="130" t="s">
        <v>220</v>
      </c>
      <c r="C15" s="67">
        <f>+E13^2*PI()/4</f>
        <v>1.3273228961416875E-6</v>
      </c>
      <c r="D15" s="65" t="s">
        <v>2</v>
      </c>
      <c r="E15" s="68">
        <f>+E13^2*PI()/4</f>
        <v>1.3273228961416875E-6</v>
      </c>
      <c r="F15" s="66" t="s">
        <v>2</v>
      </c>
      <c r="G15" s="55"/>
      <c r="H15" s="16"/>
      <c r="J15" s="105"/>
      <c r="K15" s="87"/>
      <c r="L15" s="106"/>
      <c r="M15" s="88"/>
      <c r="O15" s="19" t="s">
        <v>37</v>
      </c>
      <c r="P15" s="11">
        <v>6.5</v>
      </c>
      <c r="Q15" s="20" t="s">
        <v>68</v>
      </c>
      <c r="R15" s="54"/>
      <c r="S15" s="54"/>
      <c r="T15" t="s">
        <v>94</v>
      </c>
      <c r="U15" t="s">
        <v>95</v>
      </c>
      <c r="V15" t="s">
        <v>96</v>
      </c>
    </row>
    <row r="16" spans="2:22" x14ac:dyDescent="0.25">
      <c r="B16" s="63" t="s">
        <v>221</v>
      </c>
      <c r="C16" s="67">
        <f>+E15*E14</f>
        <v>1.3273228961416875E-6</v>
      </c>
      <c r="D16" s="65" t="s">
        <v>10</v>
      </c>
      <c r="E16" s="68">
        <f>+E15*E14</f>
        <v>1.3273228961416875E-6</v>
      </c>
      <c r="F16" s="66" t="s">
        <v>10</v>
      </c>
      <c r="G16" s="55"/>
      <c r="H16" s="16"/>
      <c r="J16" s="102" t="s">
        <v>292</v>
      </c>
      <c r="K16" s="113"/>
      <c r="L16" s="103">
        <f>L14*10^6</f>
        <v>2961044.0745757781</v>
      </c>
      <c r="M16" s="104" t="s">
        <v>191</v>
      </c>
      <c r="O16" s="19" t="s">
        <v>35</v>
      </c>
      <c r="P16" s="11">
        <v>6.5</v>
      </c>
      <c r="Q16" s="20" t="s">
        <v>68</v>
      </c>
      <c r="R16" s="54"/>
      <c r="S16" s="54"/>
      <c r="T16" t="s">
        <v>22</v>
      </c>
      <c r="U16" t="s">
        <v>97</v>
      </c>
      <c r="V16" t="s">
        <v>98</v>
      </c>
    </row>
    <row r="17" spans="2:22" x14ac:dyDescent="0.25">
      <c r="B17" s="63" t="s">
        <v>222</v>
      </c>
      <c r="C17" s="67">
        <f>+E8*E16</f>
        <v>1.1892813149429519E-3</v>
      </c>
      <c r="D17" s="65" t="s">
        <v>12</v>
      </c>
      <c r="E17" s="68">
        <f>+E8*E16</f>
        <v>1.1892813149429519E-3</v>
      </c>
      <c r="F17" s="66" t="s">
        <v>12</v>
      </c>
      <c r="G17" s="55"/>
      <c r="H17" s="16"/>
      <c r="J17" s="105" t="s">
        <v>291</v>
      </c>
      <c r="K17" s="89"/>
      <c r="L17" s="112">
        <f>L14*365.25</f>
        <v>1081.5213482388031</v>
      </c>
      <c r="M17" s="88" t="s">
        <v>191</v>
      </c>
      <c r="O17" s="19" t="s">
        <v>36</v>
      </c>
      <c r="P17" s="11">
        <v>6.5</v>
      </c>
      <c r="Q17" s="20" t="s">
        <v>68</v>
      </c>
      <c r="R17" s="54"/>
      <c r="S17" s="54"/>
      <c r="T17" t="s">
        <v>99</v>
      </c>
      <c r="U17" t="s">
        <v>100</v>
      </c>
      <c r="V17" t="s">
        <v>101</v>
      </c>
    </row>
    <row r="18" spans="2:22" x14ac:dyDescent="0.25">
      <c r="B18" s="63" t="s">
        <v>223</v>
      </c>
      <c r="C18" s="67">
        <f>+E7*10^-6</f>
        <v>3.6599999999999996E-3</v>
      </c>
      <c r="D18" s="65" t="s">
        <v>4</v>
      </c>
      <c r="E18" s="68">
        <f>+E7*10^-6</f>
        <v>3.6599999999999996E-3</v>
      </c>
      <c r="F18" s="66" t="s">
        <v>4</v>
      </c>
      <c r="G18" s="55"/>
      <c r="H18" s="16"/>
      <c r="J18" s="105"/>
      <c r="K18" s="89"/>
      <c r="L18" s="111"/>
      <c r="M18" s="88"/>
      <c r="O18" s="19" t="s">
        <v>22</v>
      </c>
      <c r="P18" s="11">
        <v>6</v>
      </c>
      <c r="Q18" s="20" t="s">
        <v>68</v>
      </c>
      <c r="R18" s="54"/>
      <c r="S18" s="54"/>
      <c r="T18" t="s">
        <v>21</v>
      </c>
      <c r="U18" t="s">
        <v>102</v>
      </c>
      <c r="V18" t="s">
        <v>103</v>
      </c>
    </row>
    <row r="19" spans="2:22" ht="18.75" x14ac:dyDescent="0.3">
      <c r="B19" s="63" t="s">
        <v>224</v>
      </c>
      <c r="C19" s="67">
        <f>+E18*E6</f>
        <v>0.36233999999999994</v>
      </c>
      <c r="D19" s="65" t="s">
        <v>6</v>
      </c>
      <c r="E19" s="68">
        <f>+E18*E6</f>
        <v>0.36233999999999994</v>
      </c>
      <c r="F19" s="66" t="s">
        <v>6</v>
      </c>
      <c r="G19" s="62"/>
      <c r="H19" s="16"/>
      <c r="J19" s="118" t="s">
        <v>241</v>
      </c>
      <c r="K19" s="119"/>
      <c r="L19" s="120">
        <f>L16*365.25</f>
        <v>1081521348.2388029</v>
      </c>
      <c r="M19" s="121" t="s">
        <v>191</v>
      </c>
      <c r="O19" s="19" t="s">
        <v>23</v>
      </c>
      <c r="P19" s="11">
        <v>4.5</v>
      </c>
      <c r="Q19" s="20" t="s">
        <v>68</v>
      </c>
      <c r="R19" s="54"/>
      <c r="S19" s="54"/>
      <c r="T19" t="s">
        <v>104</v>
      </c>
      <c r="U19" t="s">
        <v>105</v>
      </c>
      <c r="V19" t="s">
        <v>106</v>
      </c>
    </row>
    <row r="20" spans="2:22" x14ac:dyDescent="0.25">
      <c r="B20" s="63" t="s">
        <v>225</v>
      </c>
      <c r="C20" s="67">
        <f>+E3*E14/E15</f>
        <v>1.2641987905713628E-2</v>
      </c>
      <c r="D20" s="69" t="s">
        <v>3</v>
      </c>
      <c r="E20" s="68">
        <f>+E3*E14/E15</f>
        <v>1.2641987905713628E-2</v>
      </c>
      <c r="F20" s="70" t="s">
        <v>3</v>
      </c>
      <c r="G20" s="62"/>
      <c r="H20" s="16"/>
      <c r="J20" s="114" t="s">
        <v>241</v>
      </c>
      <c r="K20" s="115"/>
      <c r="L20" s="116">
        <f>L19/3600</f>
        <v>300422.59673300083</v>
      </c>
      <c r="M20" s="117" t="s">
        <v>201</v>
      </c>
      <c r="O20" s="19" t="s">
        <v>24</v>
      </c>
      <c r="P20" s="11">
        <v>4</v>
      </c>
      <c r="Q20" s="20" t="s">
        <v>68</v>
      </c>
      <c r="R20" s="54"/>
      <c r="S20" s="54"/>
      <c r="T20" t="s">
        <v>38</v>
      </c>
      <c r="U20" t="s">
        <v>107</v>
      </c>
      <c r="V20" t="s">
        <v>108</v>
      </c>
    </row>
    <row r="21" spans="2:22" x14ac:dyDescent="0.25">
      <c r="B21" s="63" t="s">
        <v>226</v>
      </c>
      <c r="C21" s="67">
        <f>+E19/(E20+E9)</f>
        <v>14.330815798211532</v>
      </c>
      <c r="D21" s="69" t="s">
        <v>5</v>
      </c>
      <c r="E21" s="68">
        <f>+E19/(E20+E9)</f>
        <v>14.330815798211532</v>
      </c>
      <c r="F21" s="70" t="s">
        <v>5</v>
      </c>
      <c r="G21" s="62"/>
      <c r="H21" s="16"/>
      <c r="J21" s="54"/>
      <c r="K21" s="54"/>
      <c r="L21" s="54"/>
      <c r="M21" s="54"/>
      <c r="O21" s="19" t="s">
        <v>25</v>
      </c>
      <c r="P21" s="11">
        <v>3.5</v>
      </c>
      <c r="Q21" s="20" t="s">
        <v>68</v>
      </c>
      <c r="R21" s="54"/>
      <c r="S21" s="54"/>
      <c r="T21" t="s">
        <v>109</v>
      </c>
      <c r="U21" t="s">
        <v>110</v>
      </c>
      <c r="V21" t="s">
        <v>111</v>
      </c>
    </row>
    <row r="22" spans="2:22" x14ac:dyDescent="0.25">
      <c r="B22" s="63" t="s">
        <v>227</v>
      </c>
      <c r="C22" s="94">
        <f>+E21*10^3</f>
        <v>14330.815798211532</v>
      </c>
      <c r="D22" s="69" t="s">
        <v>7</v>
      </c>
      <c r="E22" s="71">
        <f>+E21*10^3</f>
        <v>14330.815798211532</v>
      </c>
      <c r="F22" s="70" t="s">
        <v>7</v>
      </c>
      <c r="G22" s="62"/>
      <c r="H22" s="16"/>
      <c r="J22" s="131"/>
      <c r="K22" s="132"/>
      <c r="L22" s="132"/>
      <c r="M22" s="132"/>
      <c r="O22" s="19" t="s">
        <v>26</v>
      </c>
      <c r="P22" s="11">
        <v>3</v>
      </c>
      <c r="Q22" s="20" t="s">
        <v>68</v>
      </c>
      <c r="R22" s="54"/>
      <c r="S22" s="54"/>
      <c r="T22" t="s">
        <v>112</v>
      </c>
      <c r="U22" t="s">
        <v>113</v>
      </c>
      <c r="V22" t="s">
        <v>114</v>
      </c>
    </row>
    <row r="23" spans="2:22" x14ac:dyDescent="0.25">
      <c r="B23" s="72" t="s">
        <v>228</v>
      </c>
      <c r="C23" s="73">
        <f>E23</f>
        <v>2.5963138981619829</v>
      </c>
      <c r="D23" s="37" t="s">
        <v>8</v>
      </c>
      <c r="E23" s="74">
        <f>+E21^2*E9</f>
        <v>2.5963138981619829</v>
      </c>
      <c r="F23" s="39" t="s">
        <v>8</v>
      </c>
      <c r="G23" s="62"/>
      <c r="H23" s="16"/>
      <c r="J23" s="133"/>
      <c r="K23" s="133"/>
      <c r="L23" s="134"/>
      <c r="M23" s="133"/>
      <c r="O23" s="19" t="s">
        <v>27</v>
      </c>
      <c r="P23" s="11">
        <v>0.6</v>
      </c>
      <c r="Q23" s="20" t="s">
        <v>68</v>
      </c>
      <c r="R23" s="54"/>
      <c r="S23" s="54"/>
      <c r="T23" t="s">
        <v>39</v>
      </c>
      <c r="U23" t="s">
        <v>115</v>
      </c>
      <c r="V23">
        <v>1.4670000000000001</v>
      </c>
    </row>
    <row r="24" spans="2:22" x14ac:dyDescent="0.25">
      <c r="B24" s="72" t="s">
        <v>229</v>
      </c>
      <c r="C24" s="75">
        <f>+E23*10^6</f>
        <v>2596313.8981619827</v>
      </c>
      <c r="D24" s="37" t="s">
        <v>9</v>
      </c>
      <c r="E24" s="75">
        <f>+E23*10^6</f>
        <v>2596313.8981619827</v>
      </c>
      <c r="F24" s="39" t="s">
        <v>9</v>
      </c>
      <c r="G24" s="62"/>
      <c r="H24" s="16"/>
      <c r="J24" s="133"/>
      <c r="K24" s="133"/>
      <c r="L24" s="174"/>
      <c r="M24" s="133"/>
      <c r="O24" s="19" t="s">
        <v>28</v>
      </c>
      <c r="P24" s="11">
        <v>0</v>
      </c>
      <c r="Q24" s="20" t="s">
        <v>68</v>
      </c>
      <c r="R24" s="54"/>
      <c r="S24" s="54"/>
      <c r="T24" t="s">
        <v>116</v>
      </c>
      <c r="U24" t="s">
        <v>115</v>
      </c>
      <c r="V24" t="s">
        <v>117</v>
      </c>
    </row>
    <row r="25" spans="2:22" x14ac:dyDescent="0.25">
      <c r="B25" s="76" t="s">
        <v>230</v>
      </c>
      <c r="C25" s="77">
        <f>+E23*10^3</f>
        <v>2596.3138981619827</v>
      </c>
      <c r="D25" s="78" t="s">
        <v>13</v>
      </c>
      <c r="E25" s="77">
        <f>+E23*10^3</f>
        <v>2596.3138981619827</v>
      </c>
      <c r="F25" s="79" t="s">
        <v>13</v>
      </c>
      <c r="G25" s="62"/>
      <c r="H25" s="16"/>
      <c r="J25" s="133"/>
      <c r="K25" s="133"/>
      <c r="L25" s="135"/>
      <c r="M25" s="133"/>
      <c r="O25" s="19" t="s">
        <v>29</v>
      </c>
      <c r="P25" s="11">
        <v>-2</v>
      </c>
      <c r="Q25" s="20" t="s">
        <v>68</v>
      </c>
      <c r="R25" s="54"/>
      <c r="S25" s="54"/>
      <c r="T25" t="s">
        <v>118</v>
      </c>
      <c r="U25" t="s">
        <v>119</v>
      </c>
      <c r="V25" t="s">
        <v>120</v>
      </c>
    </row>
    <row r="26" spans="2:22" ht="18.75" x14ac:dyDescent="0.3">
      <c r="B26" s="139" t="s">
        <v>231</v>
      </c>
      <c r="C26" s="95">
        <f>C25*E10</f>
        <v>85678.358639345432</v>
      </c>
      <c r="D26" s="24" t="s">
        <v>13</v>
      </c>
      <c r="E26" s="25">
        <f>E25*E10</f>
        <v>85678.358639345432</v>
      </c>
      <c r="F26" s="24" t="s">
        <v>13</v>
      </c>
      <c r="G26" s="16"/>
      <c r="H26" s="16"/>
      <c r="J26" s="133"/>
      <c r="K26" s="133"/>
      <c r="L26" s="136"/>
      <c r="M26" s="133"/>
      <c r="O26" s="19" t="s">
        <v>30</v>
      </c>
      <c r="P26" s="11">
        <v>-9</v>
      </c>
      <c r="Q26" s="20" t="s">
        <v>68</v>
      </c>
      <c r="R26" s="54"/>
      <c r="S26" s="54"/>
      <c r="T26" t="s">
        <v>121</v>
      </c>
      <c r="U26" t="s">
        <v>122</v>
      </c>
      <c r="V26" t="s">
        <v>123</v>
      </c>
    </row>
    <row r="27" spans="2:22" ht="24.75" customHeight="1" x14ac:dyDescent="0.25">
      <c r="B27" s="54"/>
      <c r="C27" s="54"/>
      <c r="D27" s="54"/>
      <c r="E27" s="54"/>
      <c r="F27" s="54"/>
      <c r="G27" s="61"/>
      <c r="H27" s="61"/>
      <c r="J27" s="133"/>
      <c r="K27" s="133"/>
      <c r="L27" s="136"/>
      <c r="M27" s="133"/>
      <c r="O27" s="161" t="s">
        <v>31</v>
      </c>
      <c r="P27" s="162">
        <v>-15</v>
      </c>
      <c r="Q27" s="163" t="s">
        <v>68</v>
      </c>
      <c r="R27" s="54"/>
      <c r="S27" s="54"/>
      <c r="T27" t="s">
        <v>124</v>
      </c>
      <c r="U27" t="s">
        <v>125</v>
      </c>
      <c r="V27" t="s">
        <v>126</v>
      </c>
    </row>
    <row r="28" spans="2:22" ht="18.75" x14ac:dyDescent="0.3">
      <c r="B28" s="160" t="s">
        <v>232</v>
      </c>
      <c r="C28" s="28"/>
      <c r="D28" s="27"/>
      <c r="E28" s="156" t="s">
        <v>206</v>
      </c>
      <c r="F28" s="110" t="s">
        <v>282</v>
      </c>
      <c r="G28" s="62"/>
      <c r="H28" s="62"/>
      <c r="J28" s="133"/>
      <c r="K28" s="133"/>
      <c r="L28" s="134"/>
      <c r="M28" s="133"/>
      <c r="O28" s="19" t="s">
        <v>32</v>
      </c>
      <c r="P28" s="11">
        <v>-35</v>
      </c>
      <c r="Q28" s="20" t="s">
        <v>68</v>
      </c>
      <c r="R28" s="54"/>
      <c r="S28" s="54"/>
      <c r="T28" t="s">
        <v>28</v>
      </c>
      <c r="U28" t="s">
        <v>127</v>
      </c>
      <c r="V28" t="s">
        <v>128</v>
      </c>
    </row>
    <row r="29" spans="2:22" x14ac:dyDescent="0.25">
      <c r="B29" s="96" t="s">
        <v>233</v>
      </c>
      <c r="C29" s="97"/>
      <c r="D29" s="98"/>
      <c r="E29" s="29">
        <v>8</v>
      </c>
      <c r="F29" s="98" t="s">
        <v>218</v>
      </c>
      <c r="G29" s="62"/>
      <c r="H29" s="62"/>
      <c r="J29" s="133"/>
      <c r="K29" s="133"/>
      <c r="L29" s="134"/>
      <c r="M29" s="133"/>
      <c r="O29" s="4" t="s">
        <v>33</v>
      </c>
      <c r="P29" s="5">
        <v>-72</v>
      </c>
      <c r="Q29" s="140" t="s">
        <v>68</v>
      </c>
      <c r="R29" s="54"/>
      <c r="S29" s="54"/>
      <c r="T29" t="s">
        <v>129</v>
      </c>
      <c r="U29" t="s">
        <v>130</v>
      </c>
      <c r="V29" t="s">
        <v>131</v>
      </c>
    </row>
    <row r="30" spans="2:22" x14ac:dyDescent="0.25">
      <c r="B30" s="96" t="s">
        <v>234</v>
      </c>
      <c r="C30" s="97"/>
      <c r="D30" s="98"/>
      <c r="E30" s="29">
        <f>24-E29</f>
        <v>16</v>
      </c>
      <c r="F30" s="98" t="s">
        <v>218</v>
      </c>
      <c r="G30" s="62"/>
      <c r="H30" s="62"/>
      <c r="J30" s="137"/>
      <c r="K30" s="138"/>
      <c r="L30" s="137"/>
      <c r="M30" s="137"/>
      <c r="O30" s="18" t="s">
        <v>72</v>
      </c>
      <c r="P30" s="15">
        <v>-180</v>
      </c>
      <c r="Q30" s="20" t="s">
        <v>68</v>
      </c>
      <c r="R30" s="54"/>
      <c r="S30" s="54"/>
      <c r="T30" t="s">
        <v>132</v>
      </c>
      <c r="U30" t="s">
        <v>133</v>
      </c>
      <c r="V30" t="s">
        <v>134</v>
      </c>
    </row>
    <row r="31" spans="2:22" x14ac:dyDescent="0.25">
      <c r="B31" s="96" t="s">
        <v>235</v>
      </c>
      <c r="C31" s="97"/>
      <c r="D31" s="98"/>
      <c r="E31" s="29">
        <v>10</v>
      </c>
      <c r="F31" s="98" t="s">
        <v>283</v>
      </c>
      <c r="G31" s="62"/>
      <c r="H31" s="62"/>
      <c r="J31" s="138"/>
      <c r="K31" s="271"/>
      <c r="L31" s="271"/>
      <c r="M31" s="138"/>
      <c r="O31" s="175" t="s">
        <v>293</v>
      </c>
      <c r="P31" s="7">
        <v>-1990</v>
      </c>
      <c r="Q31" s="176" t="s">
        <v>68</v>
      </c>
      <c r="R31" s="54"/>
      <c r="S31" s="54"/>
      <c r="T31" t="s">
        <v>15</v>
      </c>
      <c r="U31" t="s">
        <v>135</v>
      </c>
      <c r="V31" t="s">
        <v>136</v>
      </c>
    </row>
    <row r="32" spans="2:22" x14ac:dyDescent="0.25">
      <c r="B32" s="96" t="s">
        <v>236</v>
      </c>
      <c r="C32" s="97"/>
      <c r="D32" s="98"/>
      <c r="E32" s="29">
        <v>10</v>
      </c>
      <c r="F32" s="98" t="s">
        <v>54</v>
      </c>
      <c r="G32" s="62"/>
      <c r="H32" s="62"/>
      <c r="J32" s="124"/>
      <c r="K32" s="54"/>
      <c r="L32" s="54"/>
      <c r="M32" s="54"/>
      <c r="O32" s="54"/>
      <c r="P32" s="54"/>
      <c r="Q32" s="54"/>
      <c r="R32" s="54"/>
      <c r="S32" s="54"/>
      <c r="T32" t="s">
        <v>23</v>
      </c>
      <c r="U32" t="s">
        <v>137</v>
      </c>
      <c r="V32" t="s">
        <v>138</v>
      </c>
    </row>
    <row r="33" spans="2:22" x14ac:dyDescent="0.25">
      <c r="B33" s="99"/>
      <c r="C33" s="100"/>
      <c r="D33" s="62"/>
      <c r="E33" s="101"/>
      <c r="F33" s="62"/>
      <c r="J33" s="54"/>
      <c r="K33" s="54"/>
      <c r="L33" s="54"/>
      <c r="M33" s="54"/>
      <c r="O33" s="54" t="s">
        <v>190</v>
      </c>
      <c r="P33" s="54">
        <v>19</v>
      </c>
      <c r="Q33" s="20" t="s">
        <v>68</v>
      </c>
      <c r="R33" s="54"/>
      <c r="S33" s="54"/>
      <c r="T33" t="s">
        <v>139</v>
      </c>
      <c r="U33" t="s">
        <v>140</v>
      </c>
      <c r="V33" t="s">
        <v>141</v>
      </c>
    </row>
    <row r="34" spans="2:22" x14ac:dyDescent="0.25">
      <c r="B34" s="54"/>
      <c r="C34" s="54"/>
      <c r="D34" s="54"/>
      <c r="E34" s="54"/>
      <c r="F34" s="54"/>
      <c r="J34" s="54"/>
      <c r="K34" s="54"/>
      <c r="L34" s="54"/>
      <c r="M34" s="54"/>
      <c r="O34" s="54"/>
      <c r="P34" s="54"/>
      <c r="Q34" s="54"/>
      <c r="R34" s="54"/>
      <c r="S34" s="54"/>
      <c r="T34" t="s">
        <v>142</v>
      </c>
      <c r="U34" t="s">
        <v>143</v>
      </c>
      <c r="V34" t="s">
        <v>144</v>
      </c>
    </row>
    <row r="35" spans="2:22" ht="18.75" x14ac:dyDescent="0.3">
      <c r="B35" s="27" t="s">
        <v>553</v>
      </c>
      <c r="C35" s="27"/>
      <c r="D35" s="27"/>
      <c r="E35" s="27"/>
      <c r="F35" s="27"/>
      <c r="J35" s="54"/>
      <c r="K35" s="54"/>
      <c r="L35" s="54"/>
      <c r="M35" s="54"/>
      <c r="O35" s="54"/>
      <c r="P35" s="54"/>
      <c r="Q35" s="54"/>
      <c r="R35" s="54"/>
      <c r="S35" s="54"/>
      <c r="T35" t="s">
        <v>145</v>
      </c>
      <c r="U35" t="s">
        <v>146</v>
      </c>
      <c r="V35" t="s">
        <v>147</v>
      </c>
    </row>
    <row r="36" spans="2:22" x14ac:dyDescent="0.25">
      <c r="B36" t="s">
        <v>193</v>
      </c>
      <c r="E36" s="26">
        <f>E17*700*E10</f>
        <v>27.472398375182188</v>
      </c>
      <c r="F36" s="21" t="s">
        <v>44</v>
      </c>
      <c r="J36" s="54"/>
      <c r="K36" s="54"/>
      <c r="L36" s="54"/>
      <c r="M36" s="54"/>
      <c r="O36" s="54"/>
      <c r="P36" s="54"/>
      <c r="Q36" s="54"/>
      <c r="R36" s="54"/>
      <c r="S36" s="54"/>
      <c r="T36" t="s">
        <v>24</v>
      </c>
      <c r="U36" t="s">
        <v>148</v>
      </c>
      <c r="V36" t="s">
        <v>149</v>
      </c>
    </row>
    <row r="37" spans="2:22" x14ac:dyDescent="0.25">
      <c r="B37" t="s">
        <v>306</v>
      </c>
      <c r="E37" s="26">
        <v>20</v>
      </c>
      <c r="F37" s="21" t="s">
        <v>43</v>
      </c>
      <c r="G37" s="56"/>
      <c r="H37" s="56" t="s">
        <v>554</v>
      </c>
      <c r="J37" s="54"/>
      <c r="K37" s="54"/>
      <c r="L37" s="54"/>
      <c r="M37" s="54"/>
      <c r="O37" s="54"/>
      <c r="P37" s="54"/>
      <c r="Q37" s="54"/>
      <c r="R37" s="54"/>
      <c r="S37" s="54"/>
    </row>
    <row r="38" spans="2:22" x14ac:dyDescent="0.25">
      <c r="B38" t="s">
        <v>307</v>
      </c>
      <c r="E38">
        <v>17.34</v>
      </c>
      <c r="F38" s="21" t="s">
        <v>43</v>
      </c>
      <c r="G38" s="56"/>
      <c r="H38" s="56" t="s">
        <v>555</v>
      </c>
      <c r="I38" s="178"/>
      <c r="J38" s="278"/>
      <c r="K38" s="278"/>
      <c r="L38" s="278"/>
      <c r="M38" s="54"/>
      <c r="O38" s="54"/>
      <c r="P38" s="54"/>
      <c r="Q38" s="54"/>
      <c r="R38" s="54"/>
      <c r="S38" s="54"/>
      <c r="T38" t="s">
        <v>150</v>
      </c>
      <c r="U38" t="s">
        <v>151</v>
      </c>
      <c r="V38" t="s">
        <v>152</v>
      </c>
    </row>
    <row r="39" spans="2:22" ht="15" customHeight="1" x14ac:dyDescent="0.3">
      <c r="B39" t="s">
        <v>183</v>
      </c>
      <c r="E39" s="6">
        <v>7000</v>
      </c>
      <c r="F39" s="21" t="s">
        <v>71</v>
      </c>
      <c r="G39" s="57"/>
      <c r="H39" s="57"/>
      <c r="J39" s="123"/>
      <c r="M39" s="54"/>
      <c r="O39" s="268"/>
      <c r="P39" s="268"/>
      <c r="Q39" s="268"/>
      <c r="R39" s="54"/>
      <c r="S39" s="54"/>
      <c r="T39" t="s">
        <v>153</v>
      </c>
      <c r="U39" t="s">
        <v>154</v>
      </c>
      <c r="V39" t="s">
        <v>155</v>
      </c>
    </row>
    <row r="40" spans="2:22" x14ac:dyDescent="0.25">
      <c r="B40" t="s">
        <v>202</v>
      </c>
      <c r="D40" s="269">
        <f>E39*10^6</f>
        <v>7000000000</v>
      </c>
      <c r="E40" s="269"/>
      <c r="F40" s="21" t="s">
        <v>44</v>
      </c>
      <c r="J40" s="17"/>
      <c r="K40" s="17"/>
      <c r="L40" s="17"/>
      <c r="M40" s="17"/>
      <c r="O40" s="123"/>
      <c r="T40" t="s">
        <v>156</v>
      </c>
      <c r="U40" t="s">
        <v>157</v>
      </c>
      <c r="V40" t="s">
        <v>158</v>
      </c>
    </row>
    <row r="41" spans="2:22" x14ac:dyDescent="0.25">
      <c r="B41" t="s">
        <v>203</v>
      </c>
      <c r="D41" s="269">
        <f>D40*0.5</f>
        <v>3500000000</v>
      </c>
      <c r="E41" s="270"/>
      <c r="F41" s="21" t="s">
        <v>44</v>
      </c>
      <c r="J41" s="17"/>
      <c r="K41" s="17"/>
      <c r="L41" s="17"/>
      <c r="M41" s="17"/>
      <c r="T41" t="s">
        <v>159</v>
      </c>
      <c r="U41" t="s">
        <v>160</v>
      </c>
      <c r="V41" t="s">
        <v>161</v>
      </c>
    </row>
    <row r="42" spans="2:22" x14ac:dyDescent="0.25">
      <c r="B42" t="s">
        <v>204</v>
      </c>
      <c r="C42" s="269">
        <f>D40+D41</f>
        <v>10500000000</v>
      </c>
      <c r="D42" s="269"/>
      <c r="E42" s="269"/>
      <c r="F42" s="21" t="s">
        <v>44</v>
      </c>
      <c r="T42" t="s">
        <v>162</v>
      </c>
      <c r="U42" t="s">
        <v>163</v>
      </c>
      <c r="V42" t="s">
        <v>164</v>
      </c>
    </row>
    <row r="43" spans="2:22" x14ac:dyDescent="0.25">
      <c r="B43" t="s">
        <v>281</v>
      </c>
      <c r="D43" s="269">
        <f>L20*1000*E38</f>
        <v>5209327827.350234</v>
      </c>
      <c r="E43" s="269"/>
      <c r="F43" s="21" t="s">
        <v>44</v>
      </c>
      <c r="T43" t="s">
        <v>27</v>
      </c>
      <c r="U43" t="s">
        <v>165</v>
      </c>
      <c r="V43" t="s">
        <v>166</v>
      </c>
    </row>
    <row r="44" spans="2:22" x14ac:dyDescent="0.25">
      <c r="B44" t="s">
        <v>296</v>
      </c>
      <c r="E44">
        <f>C42/D43</f>
        <v>2.0156151326995499</v>
      </c>
      <c r="F44" s="21" t="s">
        <v>205</v>
      </c>
      <c r="T44" t="s">
        <v>167</v>
      </c>
      <c r="U44" t="s">
        <v>168</v>
      </c>
      <c r="V44">
        <v>2.17</v>
      </c>
    </row>
    <row r="45" spans="2:22" x14ac:dyDescent="0.25">
      <c r="T45" t="s">
        <v>169</v>
      </c>
      <c r="U45" t="s">
        <v>170</v>
      </c>
      <c r="V45" t="s">
        <v>171</v>
      </c>
    </row>
    <row r="47" spans="2:22" x14ac:dyDescent="0.25">
      <c r="B47" s="3"/>
      <c r="C47" s="3"/>
      <c r="D47" s="259"/>
      <c r="E47" s="259"/>
      <c r="F47" s="3"/>
      <c r="G47" s="56"/>
      <c r="H47" s="56"/>
    </row>
  </sheetData>
  <sortState ref="O30:Q31">
    <sortCondition ref="P30:P31"/>
  </sortState>
  <mergeCells count="12">
    <mergeCell ref="O2:O3"/>
    <mergeCell ref="P2:Q3"/>
    <mergeCell ref="D47:E47"/>
    <mergeCell ref="J2:K3"/>
    <mergeCell ref="L2:L3"/>
    <mergeCell ref="M2:M3"/>
    <mergeCell ref="O39:Q39"/>
    <mergeCell ref="D43:E43"/>
    <mergeCell ref="D40:E40"/>
    <mergeCell ref="D41:E41"/>
    <mergeCell ref="K31:L31"/>
    <mergeCell ref="C42:E42"/>
  </mergeCells>
  <dataValidations count="1">
    <dataValidation type="list" allowBlank="1" showInputMessage="1" showErrorMessage="1" sqref="K4:K5">
      <formula1>$O$4:$O$31</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workbookViewId="0">
      <selection activeCell="B16" sqref="B16"/>
    </sheetView>
  </sheetViews>
  <sheetFormatPr defaultRowHeight="15" x14ac:dyDescent="0.25"/>
  <cols>
    <col min="2" max="2" width="15.7109375" bestFit="1" customWidth="1"/>
    <col min="12" max="12" width="3.42578125" customWidth="1"/>
  </cols>
  <sheetData>
    <row r="1" spans="1:12" x14ac:dyDescent="0.25">
      <c r="A1" s="225" t="s">
        <v>472</v>
      </c>
      <c r="B1" s="224"/>
      <c r="C1" s="224"/>
    </row>
    <row r="2" spans="1:12" ht="18" x14ac:dyDescent="0.35">
      <c r="A2" s="224" t="s">
        <v>473</v>
      </c>
      <c r="B2" s="224">
        <f>'Freezing comparison'!D11</f>
        <v>85678.358639345432</v>
      </c>
      <c r="C2" s="224" t="s">
        <v>13</v>
      </c>
      <c r="D2" t="s">
        <v>475</v>
      </c>
    </row>
    <row r="3" spans="1:12" x14ac:dyDescent="0.25">
      <c r="A3" s="224" t="s">
        <v>474</v>
      </c>
      <c r="B3" s="224">
        <v>1</v>
      </c>
      <c r="C3" s="224"/>
      <c r="D3" t="s">
        <v>476</v>
      </c>
    </row>
    <row r="4" spans="1:12" x14ac:dyDescent="0.25">
      <c r="A4" s="226" t="s">
        <v>425</v>
      </c>
      <c r="B4" s="224">
        <v>7.2</v>
      </c>
      <c r="C4" s="224" t="s">
        <v>477</v>
      </c>
      <c r="D4" t="s">
        <v>471</v>
      </c>
      <c r="E4" s="227"/>
      <c r="F4" s="227"/>
      <c r="G4" s="227"/>
      <c r="H4" s="227"/>
      <c r="I4" s="227"/>
      <c r="J4" s="227"/>
      <c r="K4" s="227"/>
      <c r="L4" s="227"/>
    </row>
    <row r="5" spans="1:12" x14ac:dyDescent="0.25">
      <c r="L5" s="227"/>
    </row>
    <row r="6" spans="1:12" ht="15.75" thickBot="1" x14ac:dyDescent="0.3">
      <c r="L6" s="227"/>
    </row>
    <row r="7" spans="1:12" ht="18" x14ac:dyDescent="0.35">
      <c r="A7" s="217" t="s">
        <v>458</v>
      </c>
      <c r="B7" s="218">
        <f>Hóágyú!B11</f>
        <v>19396260.18</v>
      </c>
      <c r="C7" s="199" t="s">
        <v>460</v>
      </c>
      <c r="D7" s="199" t="s">
        <v>466</v>
      </c>
      <c r="E7" s="199"/>
      <c r="F7" s="199"/>
      <c r="G7" s="199"/>
      <c r="H7" s="199"/>
      <c r="I7" s="199"/>
      <c r="J7" s="200"/>
      <c r="L7" s="227"/>
    </row>
    <row r="8" spans="1:12" ht="18" x14ac:dyDescent="0.35">
      <c r="A8" s="201" t="s">
        <v>459</v>
      </c>
      <c r="B8" s="205">
        <f>Hóágyú!B12</f>
        <v>668933100</v>
      </c>
      <c r="C8" s="202" t="s">
        <v>460</v>
      </c>
      <c r="D8" s="202" t="s">
        <v>467</v>
      </c>
      <c r="E8" s="202"/>
      <c r="F8" s="202"/>
      <c r="G8" s="202"/>
      <c r="H8" s="202"/>
      <c r="I8" s="202"/>
      <c r="J8" s="203"/>
      <c r="L8" s="227"/>
    </row>
    <row r="9" spans="1:12" ht="18" x14ac:dyDescent="0.35">
      <c r="A9" s="201" t="s">
        <v>461</v>
      </c>
      <c r="B9" s="205">
        <f>Hóágyú!B13</f>
        <v>688329360.17999995</v>
      </c>
      <c r="C9" s="202" t="s">
        <v>460</v>
      </c>
      <c r="D9" s="202" t="s">
        <v>436</v>
      </c>
      <c r="E9" s="202"/>
      <c r="F9" s="202"/>
      <c r="G9" s="202"/>
      <c r="H9" s="202"/>
      <c r="I9" s="202"/>
      <c r="J9" s="203"/>
      <c r="L9" s="227"/>
    </row>
    <row r="10" spans="1:12" ht="18" x14ac:dyDescent="0.35">
      <c r="A10" s="223" t="s">
        <v>422</v>
      </c>
      <c r="B10" s="202">
        <f>B7/(B3*B2*B4/100/1000000)</f>
        <v>3144230430.8603888</v>
      </c>
      <c r="C10" s="216" t="s">
        <v>334</v>
      </c>
      <c r="D10" s="202" t="s">
        <v>469</v>
      </c>
      <c r="E10" s="202"/>
      <c r="F10" s="202"/>
      <c r="G10" s="202"/>
      <c r="H10" s="202"/>
      <c r="I10" s="202"/>
      <c r="J10" s="203"/>
      <c r="L10" s="227"/>
    </row>
    <row r="11" spans="1:12" x14ac:dyDescent="0.25">
      <c r="A11" s="223"/>
      <c r="B11" s="202">
        <f>B10/3600</f>
        <v>873397.34190566349</v>
      </c>
      <c r="C11" s="216" t="s">
        <v>331</v>
      </c>
      <c r="D11" s="202"/>
      <c r="E11" s="202"/>
      <c r="F11" s="202"/>
      <c r="G11" s="202"/>
      <c r="H11" s="202"/>
      <c r="I11" s="202"/>
      <c r="J11" s="203"/>
      <c r="L11" s="227"/>
    </row>
    <row r="12" spans="1:12" x14ac:dyDescent="0.25">
      <c r="A12" s="223"/>
      <c r="B12" s="202"/>
      <c r="C12" s="216"/>
      <c r="D12" s="202"/>
      <c r="E12" s="202"/>
      <c r="F12" s="202"/>
      <c r="G12" s="202"/>
      <c r="H12" s="202"/>
      <c r="I12" s="202"/>
      <c r="J12" s="203"/>
      <c r="L12" s="227"/>
    </row>
    <row r="13" spans="1:12" ht="18" x14ac:dyDescent="0.35">
      <c r="A13" s="201" t="s">
        <v>478</v>
      </c>
      <c r="B13" s="202">
        <f>B10*B2*B3/1000000</f>
        <v>269392502.5</v>
      </c>
      <c r="C13" s="202" t="s">
        <v>460</v>
      </c>
      <c r="D13" s="202" t="s">
        <v>470</v>
      </c>
      <c r="E13" s="202"/>
      <c r="F13" s="202"/>
      <c r="G13" s="202"/>
      <c r="H13" s="202"/>
      <c r="I13" s="202"/>
      <c r="J13" s="203"/>
      <c r="L13" s="227"/>
    </row>
    <row r="14" spans="1:12" x14ac:dyDescent="0.25">
      <c r="A14" s="201"/>
      <c r="B14" s="202"/>
      <c r="C14" s="202"/>
      <c r="D14" s="202"/>
      <c r="E14" s="202"/>
      <c r="F14" s="202"/>
      <c r="G14" s="202"/>
      <c r="H14" s="202"/>
      <c r="I14" s="202"/>
      <c r="J14" s="203"/>
      <c r="L14" s="227"/>
    </row>
    <row r="15" spans="1:12" ht="15.75" thickBot="1" x14ac:dyDescent="0.3">
      <c r="A15" s="212" t="s">
        <v>425</v>
      </c>
      <c r="B15" s="239">
        <f>B7/B13</f>
        <v>7.1999999999999995E-2</v>
      </c>
      <c r="C15" s="213"/>
      <c r="D15" s="213" t="s">
        <v>479</v>
      </c>
      <c r="E15" s="213"/>
      <c r="F15" s="213"/>
      <c r="G15" s="213"/>
      <c r="H15" s="213"/>
      <c r="I15" s="213"/>
      <c r="J15" s="214"/>
      <c r="K15" s="227"/>
      <c r="L15" s="227"/>
    </row>
    <row r="18" spans="1:1" x14ac:dyDescent="0.25">
      <c r="A18" s="3" t="s">
        <v>438</v>
      </c>
    </row>
    <row r="19" spans="1:1" x14ac:dyDescent="0.25">
      <c r="A19" t="s">
        <v>482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workbookViewId="0">
      <selection activeCell="D5" sqref="D5"/>
    </sheetView>
  </sheetViews>
  <sheetFormatPr defaultRowHeight="15" x14ac:dyDescent="0.25"/>
  <cols>
    <col min="1" max="1" width="10.5703125" bestFit="1" customWidth="1"/>
    <col min="2" max="2" width="15.140625" bestFit="1" customWidth="1"/>
    <col min="3" max="3" width="12.5703125" bestFit="1" customWidth="1"/>
    <col min="4" max="4" width="13.140625" bestFit="1" customWidth="1"/>
    <col min="5" max="5" width="13.5703125" bestFit="1" customWidth="1"/>
    <col min="6" max="6" width="16.140625" bestFit="1" customWidth="1"/>
  </cols>
  <sheetData>
    <row r="1" spans="1:7" ht="18" x14ac:dyDescent="0.35">
      <c r="A1" t="s">
        <v>331</v>
      </c>
      <c r="B1">
        <v>2</v>
      </c>
      <c r="C1" t="s">
        <v>1</v>
      </c>
      <c r="E1" t="s">
        <v>506</v>
      </c>
      <c r="F1" s="26">
        <f>Hűtőborda!B29</f>
        <v>19396260180</v>
      </c>
      <c r="G1" t="s">
        <v>434</v>
      </c>
    </row>
    <row r="2" spans="1:7" ht="18.75" x14ac:dyDescent="0.35">
      <c r="A2" t="s">
        <v>5</v>
      </c>
      <c r="B2">
        <v>1000</v>
      </c>
      <c r="C2" t="s">
        <v>342</v>
      </c>
      <c r="E2" t="s">
        <v>459</v>
      </c>
      <c r="F2" s="26">
        <f>Hűtőborda!B31</f>
        <v>668933100000</v>
      </c>
      <c r="G2" t="s">
        <v>434</v>
      </c>
    </row>
    <row r="4" spans="1:7" ht="15.75" thickBot="1" x14ac:dyDescent="0.3">
      <c r="A4" s="213"/>
      <c r="B4" s="213"/>
      <c r="C4" s="213"/>
      <c r="D4" s="213"/>
      <c r="E4" s="213"/>
    </row>
    <row r="5" spans="1:7" ht="15.75" thickBot="1" x14ac:dyDescent="0.3">
      <c r="A5" s="240" t="s">
        <v>501</v>
      </c>
      <c r="B5" s="240" t="s">
        <v>502</v>
      </c>
      <c r="C5" s="240" t="s">
        <v>503</v>
      </c>
      <c r="D5" s="240" t="s">
        <v>504</v>
      </c>
      <c r="E5" s="240" t="s">
        <v>505</v>
      </c>
    </row>
    <row r="6" spans="1:7" x14ac:dyDescent="0.25">
      <c r="A6" s="241" t="s">
        <v>14</v>
      </c>
      <c r="B6" s="241" t="s">
        <v>344</v>
      </c>
      <c r="C6" s="241"/>
      <c r="D6" s="241"/>
      <c r="E6" s="241"/>
    </row>
    <row r="7" spans="1:7" ht="18" x14ac:dyDescent="0.35">
      <c r="A7" s="241" t="s">
        <v>509</v>
      </c>
      <c r="B7" s="241">
        <v>1E-3</v>
      </c>
      <c r="C7" s="241" t="s">
        <v>320</v>
      </c>
      <c r="D7" s="241" t="s">
        <v>320</v>
      </c>
      <c r="E7" s="241" t="s">
        <v>320</v>
      </c>
    </row>
    <row r="8" spans="1:7" ht="18" x14ac:dyDescent="0.35">
      <c r="A8" s="241" t="s">
        <v>510</v>
      </c>
      <c r="B8" s="241">
        <v>1E-3</v>
      </c>
      <c r="C8" s="241" t="s">
        <v>320</v>
      </c>
      <c r="D8" s="241" t="s">
        <v>320</v>
      </c>
      <c r="E8" s="241" t="s">
        <v>320</v>
      </c>
    </row>
    <row r="9" spans="1:7" ht="18" x14ac:dyDescent="0.35">
      <c r="A9" s="241" t="s">
        <v>341</v>
      </c>
      <c r="B9" s="241">
        <v>100</v>
      </c>
      <c r="C9" s="241" t="s">
        <v>320</v>
      </c>
      <c r="D9" s="241" t="s">
        <v>320</v>
      </c>
      <c r="E9" s="241" t="s">
        <v>320</v>
      </c>
    </row>
    <row r="10" spans="1:7" x14ac:dyDescent="0.25">
      <c r="A10" s="241" t="s">
        <v>508</v>
      </c>
      <c r="B10" s="241">
        <v>10</v>
      </c>
      <c r="C10" s="241" t="s">
        <v>320</v>
      </c>
      <c r="D10" s="241" t="s">
        <v>320</v>
      </c>
      <c r="E10" s="241" t="s">
        <v>320</v>
      </c>
    </row>
    <row r="11" spans="1:7" ht="18" x14ac:dyDescent="0.35">
      <c r="A11" s="242" t="s">
        <v>507</v>
      </c>
      <c r="B11" s="242" t="s">
        <v>320</v>
      </c>
      <c r="C11" s="242" t="s">
        <v>320</v>
      </c>
      <c r="D11" s="249">
        <f>Owatep!E26</f>
        <v>85678.358639345432</v>
      </c>
      <c r="E11" s="242" t="s">
        <v>320</v>
      </c>
    </row>
    <row r="12" spans="1:7" ht="18" x14ac:dyDescent="0.35">
      <c r="A12" s="243" t="s">
        <v>511</v>
      </c>
      <c r="B12" s="248">
        <f>Hűtőborda!B30/3600</f>
        <v>382532.93994417833</v>
      </c>
      <c r="C12" s="248">
        <f>Hóágyú!B15/3600</f>
        <v>251.50426187419771</v>
      </c>
      <c r="D12" s="248">
        <f>Peltier!B10/3600</f>
        <v>873397.34190566349</v>
      </c>
      <c r="E12" s="248" t="s">
        <v>512</v>
      </c>
    </row>
    <row r="13" spans="1:7" ht="15.75" thickBot="1" x14ac:dyDescent="0.3">
      <c r="A13" s="244" t="s">
        <v>425</v>
      </c>
      <c r="B13" s="247">
        <f>Hűtőborda!B45</f>
        <v>1</v>
      </c>
      <c r="C13" s="245">
        <f>Hóágyú!B20</f>
        <v>0.32277384360403794</v>
      </c>
      <c r="D13" s="245">
        <f>Peltier!B15</f>
        <v>7.1999999999999995E-2</v>
      </c>
      <c r="E13" s="246" t="s">
        <v>512</v>
      </c>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Hűtőborda!$S$3:$S$23</xm:f>
          </x14:formula1>
          <xm:sqref>B6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workbookViewId="0">
      <selection activeCell="B13" sqref="B13"/>
    </sheetView>
  </sheetViews>
  <sheetFormatPr defaultRowHeight="15" x14ac:dyDescent="0.25"/>
  <cols>
    <col min="2" max="2" width="27.7109375" customWidth="1"/>
    <col min="3" max="3" width="19.140625" customWidth="1"/>
    <col min="4" max="4" width="19.7109375" customWidth="1"/>
    <col min="5" max="5" width="20.28515625" customWidth="1"/>
    <col min="6" max="6" width="29.140625" customWidth="1"/>
    <col min="7" max="7" width="27.140625" customWidth="1"/>
    <col min="8" max="8" width="23.7109375" customWidth="1"/>
  </cols>
  <sheetData>
    <row r="1" spans="1:10" x14ac:dyDescent="0.25">
      <c r="A1" s="54"/>
      <c r="B1" s="54"/>
      <c r="C1" s="54"/>
      <c r="D1" s="54"/>
      <c r="E1" s="54"/>
      <c r="F1" s="54"/>
      <c r="G1" s="54"/>
      <c r="H1" s="54"/>
    </row>
    <row r="2" spans="1:10" x14ac:dyDescent="0.25">
      <c r="A2" s="54"/>
      <c r="B2" s="54"/>
      <c r="C2" s="54"/>
      <c r="D2" s="54"/>
      <c r="E2" s="54"/>
      <c r="F2" s="54"/>
      <c r="G2" s="54"/>
      <c r="H2" s="54"/>
    </row>
    <row r="3" spans="1:10" ht="60" customHeight="1" x14ac:dyDescent="0.25">
      <c r="A3" s="54"/>
      <c r="B3" s="157" t="s">
        <v>285</v>
      </c>
      <c r="C3" s="149" t="s">
        <v>244</v>
      </c>
      <c r="D3" s="149" t="s">
        <v>262</v>
      </c>
      <c r="E3" s="149" t="s">
        <v>261</v>
      </c>
      <c r="F3" s="149" t="s">
        <v>277</v>
      </c>
      <c r="G3" s="149" t="s">
        <v>286</v>
      </c>
      <c r="H3" s="148" t="s">
        <v>272</v>
      </c>
      <c r="I3" s="54"/>
      <c r="J3" s="54"/>
    </row>
    <row r="4" spans="1:10" x14ac:dyDescent="0.25">
      <c r="A4" s="54"/>
      <c r="B4" s="142" t="s">
        <v>263</v>
      </c>
      <c r="C4" s="143" t="s">
        <v>266</v>
      </c>
      <c r="D4" s="143" t="s">
        <v>264</v>
      </c>
      <c r="E4" s="143" t="s">
        <v>265</v>
      </c>
      <c r="F4" s="143" t="s">
        <v>267</v>
      </c>
      <c r="G4" s="143" t="s">
        <v>268</v>
      </c>
      <c r="H4" s="144" t="s">
        <v>270</v>
      </c>
      <c r="I4" s="54"/>
      <c r="J4" s="54"/>
    </row>
    <row r="5" spans="1:10" x14ac:dyDescent="0.25">
      <c r="A5" s="54"/>
      <c r="B5" s="145" t="s">
        <v>254</v>
      </c>
      <c r="C5" s="146" t="s">
        <v>242</v>
      </c>
      <c r="D5" s="146" t="s">
        <v>255</v>
      </c>
      <c r="E5" s="146" t="s">
        <v>243</v>
      </c>
      <c r="F5" s="146" t="s">
        <v>260</v>
      </c>
      <c r="G5" s="146" t="s">
        <v>269</v>
      </c>
      <c r="H5" s="147" t="s">
        <v>250</v>
      </c>
      <c r="I5" s="54"/>
      <c r="J5" s="54"/>
    </row>
    <row r="6" spans="1:10" x14ac:dyDescent="0.25">
      <c r="A6" s="54"/>
      <c r="B6" s="142" t="s">
        <v>273</v>
      </c>
      <c r="C6" s="143" t="s">
        <v>252</v>
      </c>
      <c r="D6" s="143" t="s">
        <v>251</v>
      </c>
      <c r="E6" s="143" t="s">
        <v>258</v>
      </c>
      <c r="F6" s="153" t="s">
        <v>278</v>
      </c>
      <c r="G6" s="143" t="s">
        <v>275</v>
      </c>
      <c r="H6" s="144" t="s">
        <v>271</v>
      </c>
      <c r="I6" s="54"/>
      <c r="J6" s="54"/>
    </row>
    <row r="7" spans="1:10" x14ac:dyDescent="0.25">
      <c r="A7" s="54"/>
      <c r="B7" s="145" t="s">
        <v>245</v>
      </c>
      <c r="C7" s="146" t="s">
        <v>253</v>
      </c>
      <c r="D7" s="146" t="s">
        <v>257</v>
      </c>
      <c r="E7" s="146" t="s">
        <v>259</v>
      </c>
      <c r="F7" s="154" t="s">
        <v>279</v>
      </c>
      <c r="G7" s="146" t="s">
        <v>274</v>
      </c>
      <c r="H7" s="147" t="s">
        <v>257</v>
      </c>
      <c r="I7" s="54"/>
      <c r="J7" s="54"/>
    </row>
    <row r="8" spans="1:10" ht="9" customHeight="1" x14ac:dyDescent="0.25">
      <c r="A8" s="54"/>
      <c r="B8" s="54"/>
      <c r="C8" s="54"/>
      <c r="D8" s="54"/>
      <c r="E8" s="54"/>
      <c r="F8" s="54"/>
      <c r="G8" s="54"/>
      <c r="H8" s="54"/>
      <c r="I8" s="54"/>
    </row>
    <row r="9" spans="1:10" ht="19.5" customHeight="1" x14ac:dyDescent="0.25">
      <c r="A9" s="54"/>
      <c r="B9" s="155" t="s">
        <v>280</v>
      </c>
      <c r="C9" s="54"/>
      <c r="D9" s="54"/>
      <c r="E9" s="54"/>
      <c r="F9" s="54"/>
      <c r="G9" s="54"/>
      <c r="H9" s="54"/>
      <c r="I9" s="54"/>
      <c r="J9" s="54"/>
    </row>
    <row r="10" spans="1:10" ht="19.5" customHeight="1" x14ac:dyDescent="0.25">
      <c r="A10" s="54"/>
      <c r="B10" s="54"/>
      <c r="C10" s="54"/>
      <c r="D10" s="54"/>
      <c r="E10" s="54"/>
      <c r="F10" s="54"/>
      <c r="G10" s="54"/>
      <c r="H10" s="54"/>
      <c r="I10" s="54"/>
      <c r="J10" s="54"/>
    </row>
    <row r="11" spans="1:10" x14ac:dyDescent="0.25">
      <c r="A11" s="54"/>
      <c r="B11" s="54" t="s">
        <v>256</v>
      </c>
      <c r="C11" s="141">
        <v>28.72</v>
      </c>
      <c r="D11" s="141">
        <v>48.4</v>
      </c>
      <c r="E11" s="141">
        <v>86</v>
      </c>
      <c r="F11" s="152">
        <v>0.56000000000000005</v>
      </c>
      <c r="G11" s="152">
        <v>0.65</v>
      </c>
      <c r="H11" s="54"/>
      <c r="I11" s="54"/>
      <c r="J11" s="54"/>
    </row>
    <row r="12" spans="1:10" x14ac:dyDescent="0.25">
      <c r="A12" s="54"/>
      <c r="B12" s="54"/>
      <c r="C12" s="54"/>
      <c r="D12" s="54"/>
      <c r="E12" s="54"/>
      <c r="F12" s="54"/>
      <c r="G12" s="54"/>
      <c r="H12" s="54"/>
      <c r="I12" s="54"/>
      <c r="J12" s="54"/>
    </row>
    <row r="13" spans="1:10" ht="117.75" customHeight="1" x14ac:dyDescent="0.25">
      <c r="A13" s="54"/>
      <c r="B13" s="150"/>
      <c r="C13" s="150"/>
      <c r="D13" s="150"/>
      <c r="E13" s="150"/>
      <c r="F13" s="151" t="s">
        <v>276</v>
      </c>
      <c r="J13" s="54"/>
    </row>
    <row r="14" spans="1:10" ht="93.75" customHeight="1" x14ac:dyDescent="0.25">
      <c r="A14" s="54"/>
      <c r="B14" s="272" t="s">
        <v>295</v>
      </c>
      <c r="C14" s="272"/>
      <c r="D14" s="272"/>
      <c r="E14" s="272"/>
      <c r="F14" s="272"/>
    </row>
    <row r="15" spans="1:10" ht="54.75" customHeight="1" x14ac:dyDescent="0.25">
      <c r="B15" s="273"/>
      <c r="C15" s="273"/>
      <c r="D15" s="273"/>
      <c r="E15" s="273"/>
      <c r="F15" s="273"/>
    </row>
    <row r="16" spans="1:10" ht="60.75" customHeight="1" x14ac:dyDescent="0.25">
      <c r="B16" s="273"/>
      <c r="C16" s="273"/>
      <c r="D16" s="273"/>
      <c r="E16" s="273"/>
      <c r="F16" s="273"/>
    </row>
  </sheetData>
  <mergeCells count="3">
    <mergeCell ref="B14:F14"/>
    <mergeCell ref="B15:F15"/>
    <mergeCell ref="B16:F16"/>
  </mergeCells>
  <hyperlinks>
    <hyperlink ref="D11" r:id="rId1" display="http://en.wikipedia.org/wiki/Horns_Rev_2"/>
    <hyperlink ref="C11" r:id="rId2" display="http://www.nrel.gov/csp/solarpaces/project_detail.cfm/projectID=62"/>
    <hyperlink ref="E11" r:id="rId3" display="http://www.nei.org/Master-Document-Folder/Backgrounders/Fact-Sheets/Quick-Facts-Nuclear-Energy-In-America"/>
    <hyperlink ref="F11" r:id="rId4" location="Coal" display="http://en.wikipedia.org/wiki/Coal_power_plant - Coal"/>
    <hyperlink ref="G11" r:id="rId5" display="http://en.wikipedia.org/wiki/Drax_power_station"/>
  </hyperlinks>
  <pageMargins left="0.7" right="0.7" top="0.75" bottom="0.75" header="0.3" footer="0.3"/>
  <pageSetup paperSize="9" orientation="portrait"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workbookViewId="0">
      <selection activeCell="B17" sqref="B17"/>
    </sheetView>
  </sheetViews>
  <sheetFormatPr defaultRowHeight="15" x14ac:dyDescent="0.25"/>
  <cols>
    <col min="1" max="1" width="28" bestFit="1" customWidth="1"/>
    <col min="2" max="2" width="19.140625" bestFit="1" customWidth="1"/>
    <col min="3" max="3" width="12.7109375" bestFit="1" customWidth="1"/>
    <col min="4" max="4" width="26.28515625" bestFit="1" customWidth="1"/>
    <col min="5" max="5" width="19.7109375" bestFit="1" customWidth="1"/>
    <col min="6" max="6" width="15.5703125" bestFit="1" customWidth="1"/>
  </cols>
  <sheetData>
    <row r="1" spans="1:6" ht="15.75" thickBot="1" x14ac:dyDescent="0.3">
      <c r="A1" s="254" t="s">
        <v>513</v>
      </c>
      <c r="B1" s="255" t="s">
        <v>514</v>
      </c>
      <c r="C1" s="255" t="s">
        <v>515</v>
      </c>
      <c r="D1" s="255" t="s">
        <v>516</v>
      </c>
      <c r="E1" s="255" t="s">
        <v>517</v>
      </c>
      <c r="F1" s="255" t="s">
        <v>518</v>
      </c>
    </row>
    <row r="2" spans="1:6" x14ac:dyDescent="0.25">
      <c r="A2" s="250" t="s">
        <v>519</v>
      </c>
      <c r="B2" s="232" t="s">
        <v>520</v>
      </c>
      <c r="C2" s="232" t="s">
        <v>521</v>
      </c>
      <c r="D2" s="232" t="s">
        <v>522</v>
      </c>
      <c r="E2" s="232" t="s">
        <v>523</v>
      </c>
      <c r="F2" s="232" t="s">
        <v>524</v>
      </c>
    </row>
    <row r="3" spans="1:6" ht="18" x14ac:dyDescent="0.25">
      <c r="A3" s="250" t="s">
        <v>551</v>
      </c>
      <c r="B3" s="232" t="s">
        <v>525</v>
      </c>
      <c r="C3" s="232" t="s">
        <v>526</v>
      </c>
      <c r="D3" s="232" t="s">
        <v>527</v>
      </c>
      <c r="E3" s="232" t="s">
        <v>528</v>
      </c>
      <c r="F3" s="232" t="s">
        <v>250</v>
      </c>
    </row>
    <row r="4" spans="1:6" ht="18" x14ac:dyDescent="0.25">
      <c r="A4" s="250" t="s">
        <v>552</v>
      </c>
      <c r="B4" s="232" t="s">
        <v>529</v>
      </c>
      <c r="C4" s="232" t="s">
        <v>530</v>
      </c>
      <c r="D4" s="232" t="s">
        <v>531</v>
      </c>
      <c r="E4" s="232" t="s">
        <v>532</v>
      </c>
      <c r="F4" s="232" t="s">
        <v>320</v>
      </c>
    </row>
    <row r="5" spans="1:6" x14ac:dyDescent="0.25">
      <c r="A5" s="250" t="s">
        <v>533</v>
      </c>
      <c r="B5" s="232" t="s">
        <v>534</v>
      </c>
      <c r="C5" s="232" t="s">
        <v>535</v>
      </c>
      <c r="D5" s="232" t="s">
        <v>536</v>
      </c>
      <c r="E5" s="232" t="s">
        <v>537</v>
      </c>
      <c r="F5" s="232" t="s">
        <v>538</v>
      </c>
    </row>
    <row r="6" spans="1:6" x14ac:dyDescent="0.25">
      <c r="A6" s="250" t="s">
        <v>539</v>
      </c>
      <c r="B6" s="232" t="s">
        <v>540</v>
      </c>
      <c r="C6" s="232" t="s">
        <v>541</v>
      </c>
      <c r="D6" s="232" t="s">
        <v>542</v>
      </c>
      <c r="E6" s="232" t="s">
        <v>543</v>
      </c>
      <c r="F6" s="232" t="s">
        <v>544</v>
      </c>
    </row>
    <row r="7" spans="1:6" x14ac:dyDescent="0.25">
      <c r="A7" s="250" t="s">
        <v>545</v>
      </c>
      <c r="B7" s="251">
        <v>0.314</v>
      </c>
      <c r="C7" s="252">
        <v>0.3</v>
      </c>
      <c r="D7" s="252">
        <v>0.7</v>
      </c>
      <c r="E7" s="252">
        <v>0.85</v>
      </c>
      <c r="F7" s="232" t="s">
        <v>320</v>
      </c>
    </row>
    <row r="8" spans="1:6" ht="15.75" thickBot="1" x14ac:dyDescent="0.3">
      <c r="A8" s="253" t="s">
        <v>546</v>
      </c>
      <c r="B8" s="256" t="s">
        <v>547</v>
      </c>
      <c r="C8" s="256" t="s">
        <v>548</v>
      </c>
      <c r="D8" s="256" t="s">
        <v>549</v>
      </c>
      <c r="E8" s="256" t="s">
        <v>550</v>
      </c>
      <c r="F8" s="256" t="s">
        <v>320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9"/>
  <sheetViews>
    <sheetView workbookViewId="0">
      <selection activeCell="C3" sqref="C3"/>
    </sheetView>
  </sheetViews>
  <sheetFormatPr defaultRowHeight="15" x14ac:dyDescent="0.25"/>
  <cols>
    <col min="2" max="2" width="40.28515625" customWidth="1"/>
    <col min="3" max="3" width="9.85546875" customWidth="1"/>
  </cols>
  <sheetData>
    <row r="2" spans="2:4" ht="18.75" x14ac:dyDescent="0.3">
      <c r="B2" s="12" t="s">
        <v>66</v>
      </c>
    </row>
    <row r="3" spans="2:4" x14ac:dyDescent="0.25">
      <c r="B3" t="s">
        <v>67</v>
      </c>
      <c r="C3" s="1">
        <f>(Owatep!E25)</f>
        <v>2596.3138981619827</v>
      </c>
      <c r="D3" t="s">
        <v>13</v>
      </c>
    </row>
    <row r="5" spans="2:4" x14ac:dyDescent="0.25">
      <c r="B5" s="4" t="s">
        <v>47</v>
      </c>
      <c r="C5" s="5"/>
      <c r="D5" s="5"/>
    </row>
    <row r="6" spans="2:4" x14ac:dyDescent="0.25">
      <c r="B6" t="s">
        <v>45</v>
      </c>
      <c r="C6">
        <v>22</v>
      </c>
      <c r="D6" t="s">
        <v>46</v>
      </c>
    </row>
    <row r="7" spans="2:4" x14ac:dyDescent="0.25">
      <c r="B7" t="s">
        <v>49</v>
      </c>
      <c r="C7">
        <v>10</v>
      </c>
      <c r="D7" t="s">
        <v>46</v>
      </c>
    </row>
    <row r="12" spans="2:4" x14ac:dyDescent="0.25">
      <c r="B12" s="4" t="s">
        <v>48</v>
      </c>
      <c r="C12" s="5"/>
      <c r="D12" s="5"/>
    </row>
    <row r="13" spans="2:4" x14ac:dyDescent="0.25">
      <c r="B13" t="s">
        <v>53</v>
      </c>
      <c r="C13">
        <v>10</v>
      </c>
      <c r="D13" t="s">
        <v>54</v>
      </c>
    </row>
    <row r="14" spans="2:4" x14ac:dyDescent="0.25">
      <c r="B14" t="s">
        <v>55</v>
      </c>
    </row>
    <row r="17" spans="2:2" ht="21" x14ac:dyDescent="0.35">
      <c r="B17" s="10" t="s">
        <v>50</v>
      </c>
    </row>
    <row r="18" spans="2:2" x14ac:dyDescent="0.25">
      <c r="B18" t="s">
        <v>51</v>
      </c>
    </row>
    <row r="19" spans="2:2" x14ac:dyDescent="0.25">
      <c r="B19" t="s">
        <v>52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workbookViewId="0">
      <selection activeCell="A10" sqref="A10"/>
    </sheetView>
  </sheetViews>
  <sheetFormatPr defaultRowHeight="15" x14ac:dyDescent="0.25"/>
  <cols>
    <col min="1" max="1" width="111.140625" customWidth="1"/>
    <col min="2" max="2" width="67.5703125" customWidth="1"/>
  </cols>
  <sheetData>
    <row r="1" spans="1:2" ht="21" x14ac:dyDescent="0.35">
      <c r="A1" s="10" t="s">
        <v>65</v>
      </c>
    </row>
    <row r="2" spans="1:2" x14ac:dyDescent="0.25">
      <c r="A2" s="8" t="s">
        <v>60</v>
      </c>
      <c r="B2" t="s">
        <v>180</v>
      </c>
    </row>
    <row r="3" spans="1:2" x14ac:dyDescent="0.25">
      <c r="A3" s="8" t="s">
        <v>56</v>
      </c>
    </row>
    <row r="4" spans="1:2" x14ac:dyDescent="0.25">
      <c r="A4" s="8" t="s">
        <v>61</v>
      </c>
      <c r="B4" t="s">
        <v>62</v>
      </c>
    </row>
    <row r="5" spans="1:2" x14ac:dyDescent="0.25">
      <c r="A5" s="8" t="s">
        <v>57</v>
      </c>
      <c r="B5" t="s">
        <v>182</v>
      </c>
    </row>
    <row r="6" spans="1:2" x14ac:dyDescent="0.25">
      <c r="A6" s="8" t="s">
        <v>58</v>
      </c>
      <c r="B6" t="s">
        <v>63</v>
      </c>
    </row>
    <row r="7" spans="1:2" x14ac:dyDescent="0.25">
      <c r="A7" s="8" t="s">
        <v>181</v>
      </c>
      <c r="B7" t="s">
        <v>310</v>
      </c>
    </row>
    <row r="8" spans="1:2" x14ac:dyDescent="0.25">
      <c r="A8" s="8" t="s">
        <v>297</v>
      </c>
    </row>
    <row r="9" spans="1:2" x14ac:dyDescent="0.25">
      <c r="A9" t="s">
        <v>298</v>
      </c>
    </row>
    <row r="10" spans="1:2" ht="45" x14ac:dyDescent="0.25">
      <c r="A10" s="177" t="s">
        <v>299</v>
      </c>
    </row>
    <row r="11" spans="1:2" ht="30" x14ac:dyDescent="0.25">
      <c r="A11" s="177" t="s">
        <v>300</v>
      </c>
    </row>
    <row r="18" spans="1:1" ht="21" x14ac:dyDescent="0.35">
      <c r="A18" s="10" t="s">
        <v>64</v>
      </c>
    </row>
    <row r="19" spans="1:1" x14ac:dyDescent="0.25">
      <c r="A19" s="9" t="s">
        <v>59</v>
      </c>
    </row>
    <row r="20" spans="1:1" x14ac:dyDescent="0.25">
      <c r="A20" s="22" t="s">
        <v>174</v>
      </c>
    </row>
  </sheetData>
  <hyperlinks>
    <hyperlink ref="A19" r:id="rId1" display="http://hu.wikipedia.org/wiki/Arany"/>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7"/>
  <sheetViews>
    <sheetView topLeftCell="A26" workbookViewId="0">
      <selection activeCell="B36" sqref="B36"/>
    </sheetView>
  </sheetViews>
  <sheetFormatPr defaultRowHeight="15" x14ac:dyDescent="0.25"/>
  <cols>
    <col min="1" max="1" width="43.42578125" customWidth="1"/>
  </cols>
  <sheetData>
    <row r="1" spans="1:16" ht="18.75" x14ac:dyDescent="0.3">
      <c r="A1" s="13" t="s">
        <v>70</v>
      </c>
    </row>
    <row r="3" spans="1:16" x14ac:dyDescent="0.25">
      <c r="A3" s="22"/>
      <c r="B3" s="2" t="s">
        <v>34</v>
      </c>
      <c r="K3" s="274" t="s">
        <v>186</v>
      </c>
      <c r="L3" s="275"/>
      <c r="M3" s="275"/>
      <c r="N3" s="275"/>
      <c r="O3" s="275"/>
      <c r="P3" s="275"/>
    </row>
    <row r="4" spans="1:16" x14ac:dyDescent="0.25">
      <c r="A4" s="22"/>
      <c r="B4" s="2" t="s">
        <v>41</v>
      </c>
      <c r="K4" s="275"/>
      <c r="L4" s="275"/>
      <c r="M4" s="275"/>
      <c r="N4" s="275"/>
      <c r="O4" s="275"/>
      <c r="P4" s="275"/>
    </row>
    <row r="5" spans="1:16" x14ac:dyDescent="0.25">
      <c r="A5" s="22"/>
      <c r="B5" s="2" t="s">
        <v>42</v>
      </c>
      <c r="K5" s="275"/>
      <c r="L5" s="275"/>
      <c r="M5" s="275"/>
      <c r="N5" s="275"/>
      <c r="O5" s="275"/>
      <c r="P5" s="275"/>
    </row>
    <row r="6" spans="1:16" x14ac:dyDescent="0.25">
      <c r="A6" s="22"/>
      <c r="B6" s="2" t="s">
        <v>69</v>
      </c>
      <c r="K6" s="275"/>
      <c r="L6" s="275"/>
      <c r="M6" s="275"/>
      <c r="N6" s="275"/>
      <c r="O6" s="275"/>
      <c r="P6" s="275"/>
    </row>
    <row r="7" spans="1:16" x14ac:dyDescent="0.25">
      <c r="A7" s="22"/>
      <c r="K7" s="275"/>
      <c r="L7" s="275"/>
      <c r="M7" s="275"/>
      <c r="N7" s="275"/>
      <c r="O7" s="275"/>
      <c r="P7" s="275"/>
    </row>
    <row r="8" spans="1:16" x14ac:dyDescent="0.25">
      <c r="A8" s="23" t="s">
        <v>73</v>
      </c>
      <c r="B8" s="2" t="s">
        <v>41</v>
      </c>
      <c r="K8" s="275"/>
      <c r="L8" s="275"/>
      <c r="M8" s="275"/>
      <c r="N8" s="275"/>
      <c r="O8" s="275"/>
      <c r="P8" s="275"/>
    </row>
    <row r="9" spans="1:16" x14ac:dyDescent="0.25">
      <c r="A9" s="22" t="s">
        <v>175</v>
      </c>
      <c r="B9" s="2" t="s">
        <v>176</v>
      </c>
      <c r="K9" s="275"/>
      <c r="L9" s="275"/>
      <c r="M9" s="275"/>
      <c r="N9" s="275"/>
      <c r="O9" s="275"/>
      <c r="P9" s="275"/>
    </row>
    <row r="10" spans="1:16" x14ac:dyDescent="0.25">
      <c r="A10" s="22" t="s">
        <v>184</v>
      </c>
      <c r="B10" s="2" t="s">
        <v>185</v>
      </c>
      <c r="K10" s="275"/>
      <c r="L10" s="275"/>
      <c r="M10" s="275"/>
      <c r="N10" s="275"/>
      <c r="O10" s="275"/>
      <c r="P10" s="275"/>
    </row>
    <row r="11" spans="1:16" x14ac:dyDescent="0.25">
      <c r="A11" s="22"/>
      <c r="K11" s="275"/>
      <c r="L11" s="275"/>
      <c r="M11" s="275"/>
      <c r="N11" s="275"/>
      <c r="O11" s="275"/>
      <c r="P11" s="275"/>
    </row>
    <row r="12" spans="1:16" x14ac:dyDescent="0.25">
      <c r="K12" s="275"/>
      <c r="L12" s="275"/>
      <c r="M12" s="275"/>
      <c r="N12" s="275"/>
      <c r="O12" s="275"/>
      <c r="P12" s="275"/>
    </row>
    <row r="13" spans="1:16" x14ac:dyDescent="0.25">
      <c r="A13" s="22"/>
      <c r="K13" s="275"/>
      <c r="L13" s="275"/>
      <c r="M13" s="275"/>
      <c r="N13" s="275"/>
      <c r="O13" s="275"/>
      <c r="P13" s="275"/>
    </row>
    <row r="14" spans="1:16" x14ac:dyDescent="0.25">
      <c r="A14" s="22"/>
      <c r="B14" s="2" t="s">
        <v>179</v>
      </c>
      <c r="K14" s="275"/>
      <c r="L14" s="275"/>
      <c r="M14" s="275"/>
      <c r="N14" s="275"/>
      <c r="O14" s="275"/>
      <c r="P14" s="275"/>
    </row>
    <row r="15" spans="1:16" x14ac:dyDescent="0.25">
      <c r="A15" s="22"/>
      <c r="K15" s="275"/>
      <c r="L15" s="275"/>
      <c r="M15" s="275"/>
      <c r="N15" s="275"/>
      <c r="O15" s="275"/>
      <c r="P15" s="275"/>
    </row>
    <row r="16" spans="1:16" x14ac:dyDescent="0.25">
      <c r="K16" s="275"/>
      <c r="L16" s="275"/>
      <c r="M16" s="275"/>
      <c r="N16" s="275"/>
      <c r="O16" s="275"/>
      <c r="P16" s="275"/>
    </row>
    <row r="17" spans="1:16" x14ac:dyDescent="0.25">
      <c r="K17" s="275"/>
      <c r="L17" s="275"/>
      <c r="M17" s="275"/>
      <c r="N17" s="275"/>
      <c r="O17" s="275"/>
      <c r="P17" s="275"/>
    </row>
    <row r="18" spans="1:16" x14ac:dyDescent="0.25">
      <c r="K18" s="275"/>
      <c r="L18" s="275"/>
      <c r="M18" s="275"/>
      <c r="N18" s="275"/>
      <c r="O18" s="275"/>
      <c r="P18" s="275"/>
    </row>
    <row r="19" spans="1:16" ht="79.5" x14ac:dyDescent="0.25">
      <c r="A19" s="122" t="s">
        <v>194</v>
      </c>
      <c r="K19" s="275"/>
      <c r="L19" s="275"/>
      <c r="M19" s="275"/>
      <c r="N19" s="275"/>
      <c r="O19" s="275"/>
      <c r="P19" s="275"/>
    </row>
    <row r="20" spans="1:16" x14ac:dyDescent="0.25">
      <c r="A20" t="s">
        <v>195</v>
      </c>
      <c r="K20" s="275"/>
      <c r="L20" s="275"/>
      <c r="M20" s="275"/>
      <c r="N20" s="275"/>
      <c r="O20" s="275"/>
      <c r="P20" s="275"/>
    </row>
    <row r="21" spans="1:16" x14ac:dyDescent="0.25">
      <c r="K21" s="275"/>
      <c r="L21" s="275"/>
      <c r="M21" s="275"/>
      <c r="N21" s="275"/>
      <c r="O21" s="275"/>
      <c r="P21" s="275"/>
    </row>
    <row r="22" spans="1:16" x14ac:dyDescent="0.25">
      <c r="K22" s="275"/>
      <c r="L22" s="275"/>
      <c r="M22" s="275"/>
      <c r="N22" s="275"/>
      <c r="O22" s="275"/>
      <c r="P22" s="275"/>
    </row>
    <row r="23" spans="1:16" x14ac:dyDescent="0.25">
      <c r="A23" t="s">
        <v>198</v>
      </c>
      <c r="K23" s="275"/>
      <c r="L23" s="275"/>
      <c r="M23" s="275"/>
      <c r="N23" s="275"/>
      <c r="O23" s="275"/>
      <c r="P23" s="275"/>
    </row>
    <row r="24" spans="1:16" x14ac:dyDescent="0.25">
      <c r="A24" t="s">
        <v>196</v>
      </c>
      <c r="K24" s="275"/>
      <c r="L24" s="275"/>
      <c r="M24" s="275"/>
      <c r="N24" s="275"/>
      <c r="O24" s="275"/>
      <c r="P24" s="275"/>
    </row>
    <row r="25" spans="1:16" x14ac:dyDescent="0.25">
      <c r="K25" s="275"/>
      <c r="L25" s="275"/>
      <c r="M25" s="275"/>
      <c r="N25" s="275"/>
      <c r="O25" s="275"/>
      <c r="P25" s="275"/>
    </row>
    <row r="26" spans="1:16" x14ac:dyDescent="0.25">
      <c r="A26" t="s">
        <v>197</v>
      </c>
      <c r="K26" s="275"/>
      <c r="L26" s="275"/>
      <c r="M26" s="275"/>
      <c r="N26" s="275"/>
      <c r="O26" s="275"/>
      <c r="P26" s="275"/>
    </row>
    <row r="27" spans="1:16" x14ac:dyDescent="0.25">
      <c r="K27" s="275"/>
      <c r="L27" s="275"/>
      <c r="M27" s="275"/>
      <c r="N27" s="275"/>
      <c r="O27" s="275"/>
      <c r="P27" s="275"/>
    </row>
    <row r="28" spans="1:16" x14ac:dyDescent="0.25">
      <c r="A28" t="s">
        <v>199</v>
      </c>
    </row>
    <row r="29" spans="1:16" ht="17.25" customHeight="1" x14ac:dyDescent="0.25">
      <c r="B29" s="2" t="s">
        <v>188</v>
      </c>
      <c r="K29" s="276" t="s">
        <v>187</v>
      </c>
      <c r="L29" s="276"/>
      <c r="M29" s="276"/>
      <c r="N29" s="276"/>
      <c r="O29" s="276"/>
      <c r="P29" s="276"/>
    </row>
    <row r="30" spans="1:16" x14ac:dyDescent="0.25">
      <c r="K30" s="276"/>
      <c r="L30" s="276"/>
      <c r="M30" s="276"/>
      <c r="N30" s="276"/>
      <c r="O30" s="276"/>
      <c r="P30" s="276"/>
    </row>
    <row r="31" spans="1:16" x14ac:dyDescent="0.25">
      <c r="K31" s="276"/>
      <c r="L31" s="276"/>
      <c r="M31" s="276"/>
      <c r="N31" s="276"/>
      <c r="O31" s="276"/>
      <c r="P31" s="276"/>
    </row>
    <row r="32" spans="1:16" x14ac:dyDescent="0.25">
      <c r="A32" t="s">
        <v>200</v>
      </c>
      <c r="K32" s="276"/>
      <c r="L32" s="276"/>
      <c r="M32" s="276"/>
      <c r="N32" s="276"/>
      <c r="O32" s="276"/>
      <c r="P32" s="276"/>
    </row>
    <row r="33" spans="1:16" x14ac:dyDescent="0.25">
      <c r="K33" s="276"/>
      <c r="L33" s="276"/>
      <c r="M33" s="276"/>
      <c r="N33" s="276"/>
      <c r="O33" s="276"/>
      <c r="P33" s="276"/>
    </row>
    <row r="34" spans="1:16" x14ac:dyDescent="0.25">
      <c r="A34" t="s">
        <v>304</v>
      </c>
      <c r="B34" s="2" t="s">
        <v>305</v>
      </c>
      <c r="K34" s="276"/>
      <c r="L34" s="276"/>
      <c r="M34" s="276"/>
      <c r="N34" s="276"/>
      <c r="O34" s="276"/>
      <c r="P34" s="276"/>
    </row>
    <row r="35" spans="1:16" x14ac:dyDescent="0.25">
      <c r="A35" t="s">
        <v>309</v>
      </c>
      <c r="B35" s="2" t="s">
        <v>308</v>
      </c>
      <c r="K35" s="276"/>
      <c r="L35" s="276"/>
      <c r="M35" s="276"/>
      <c r="N35" s="276"/>
      <c r="O35" s="276"/>
      <c r="P35" s="276"/>
    </row>
    <row r="36" spans="1:16" x14ac:dyDescent="0.25">
      <c r="K36" s="276"/>
      <c r="L36" s="276"/>
      <c r="M36" s="276"/>
      <c r="N36" s="276"/>
      <c r="O36" s="276"/>
      <c r="P36" s="276"/>
    </row>
    <row r="37" spans="1:16" x14ac:dyDescent="0.25">
      <c r="K37" s="276"/>
      <c r="L37" s="276"/>
      <c r="M37" s="276"/>
      <c r="N37" s="276"/>
      <c r="O37" s="276"/>
      <c r="P37" s="276"/>
    </row>
    <row r="39" spans="1:16" x14ac:dyDescent="0.25">
      <c r="K39" s="277" t="s">
        <v>189</v>
      </c>
      <c r="L39" s="277"/>
      <c r="M39" s="277"/>
      <c r="N39" s="277"/>
      <c r="O39" s="277"/>
      <c r="P39" s="277"/>
    </row>
    <row r="40" spans="1:16" x14ac:dyDescent="0.25">
      <c r="K40" s="277"/>
      <c r="L40" s="277"/>
      <c r="M40" s="277"/>
      <c r="N40" s="277"/>
      <c r="O40" s="277"/>
      <c r="P40" s="277"/>
    </row>
    <row r="41" spans="1:16" x14ac:dyDescent="0.25">
      <c r="K41" s="277"/>
      <c r="L41" s="277"/>
      <c r="M41" s="277"/>
      <c r="N41" s="277"/>
      <c r="O41" s="277"/>
      <c r="P41" s="277"/>
    </row>
    <row r="42" spans="1:16" x14ac:dyDescent="0.25">
      <c r="K42" s="277"/>
      <c r="L42" s="277"/>
      <c r="M42" s="277"/>
      <c r="N42" s="277"/>
      <c r="O42" s="277"/>
      <c r="P42" s="277"/>
    </row>
    <row r="43" spans="1:16" x14ac:dyDescent="0.25">
      <c r="K43" s="277"/>
      <c r="L43" s="277"/>
      <c r="M43" s="277"/>
      <c r="N43" s="277"/>
      <c r="O43" s="277"/>
      <c r="P43" s="277"/>
    </row>
    <row r="44" spans="1:16" x14ac:dyDescent="0.25">
      <c r="K44" s="277"/>
      <c r="L44" s="277"/>
      <c r="M44" s="277"/>
      <c r="N44" s="277"/>
      <c r="O44" s="277"/>
      <c r="P44" s="277"/>
    </row>
    <row r="45" spans="1:16" x14ac:dyDescent="0.25">
      <c r="K45" s="277"/>
      <c r="L45" s="277"/>
      <c r="M45" s="277"/>
      <c r="N45" s="277"/>
      <c r="O45" s="277"/>
      <c r="P45" s="277"/>
    </row>
    <row r="46" spans="1:16" x14ac:dyDescent="0.25">
      <c r="K46" s="277"/>
      <c r="L46" s="277"/>
      <c r="M46" s="277"/>
      <c r="N46" s="277"/>
      <c r="O46" s="277"/>
      <c r="P46" s="277"/>
    </row>
    <row r="47" spans="1:16" x14ac:dyDescent="0.25">
      <c r="K47" s="277"/>
      <c r="L47" s="277"/>
      <c r="M47" s="277"/>
      <c r="N47" s="277"/>
      <c r="O47" s="277"/>
      <c r="P47" s="277"/>
    </row>
  </sheetData>
  <mergeCells count="3">
    <mergeCell ref="K3:P27"/>
    <mergeCell ref="K29:P37"/>
    <mergeCell ref="K39:P47"/>
  </mergeCells>
  <hyperlinks>
    <hyperlink ref="B3" r:id="rId1"/>
    <hyperlink ref="B4" r:id="rId2"/>
    <hyperlink ref="B5" r:id="rId3"/>
    <hyperlink ref="B6" r:id="rId4"/>
    <hyperlink ref="B8" r:id="rId5"/>
    <hyperlink ref="B9" r:id="rId6"/>
    <hyperlink ref="B10" r:id="rId7"/>
    <hyperlink ref="B14" r:id="rId8"/>
    <hyperlink ref="B29" r:id="rId9"/>
    <hyperlink ref="B34" r:id="rId10"/>
    <hyperlink ref="B35" r:id="rId11"/>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L10"/>
  <sheetViews>
    <sheetView workbookViewId="0">
      <selection activeCell="A4" sqref="A4"/>
    </sheetView>
  </sheetViews>
  <sheetFormatPr defaultRowHeight="15" x14ac:dyDescent="0.25"/>
  <sheetData>
    <row r="4" spans="3:12" ht="105" x14ac:dyDescent="0.25">
      <c r="C4" s="229" t="s">
        <v>485</v>
      </c>
      <c r="D4" s="229" t="s">
        <v>486</v>
      </c>
      <c r="E4" s="229" t="s">
        <v>487</v>
      </c>
      <c r="F4" s="229" t="s">
        <v>488</v>
      </c>
      <c r="G4" s="229" t="s">
        <v>489</v>
      </c>
      <c r="H4" s="229" t="s">
        <v>490</v>
      </c>
      <c r="I4" s="229" t="s">
        <v>491</v>
      </c>
      <c r="J4" s="229" t="s">
        <v>492</v>
      </c>
      <c r="K4" s="230" t="s">
        <v>493</v>
      </c>
      <c r="L4" s="230" t="s">
        <v>494</v>
      </c>
    </row>
    <row r="5" spans="3:12" x14ac:dyDescent="0.25">
      <c r="C5" s="231" t="s">
        <v>326</v>
      </c>
      <c r="D5" s="231" t="s">
        <v>495</v>
      </c>
      <c r="E5" s="231" t="s">
        <v>496</v>
      </c>
      <c r="F5" s="231" t="s">
        <v>11</v>
      </c>
      <c r="G5" s="231" t="s">
        <v>497</v>
      </c>
      <c r="H5" s="231" t="s">
        <v>498</v>
      </c>
      <c r="I5" s="231" t="s">
        <v>314</v>
      </c>
      <c r="J5" s="231" t="s">
        <v>10</v>
      </c>
      <c r="K5" s="231" t="s">
        <v>495</v>
      </c>
      <c r="L5" s="231" t="s">
        <v>498</v>
      </c>
    </row>
    <row r="6" spans="3:12" x14ac:dyDescent="0.25">
      <c r="C6" s="232">
        <v>0</v>
      </c>
      <c r="D6" s="233">
        <v>2500.4760000000001</v>
      </c>
      <c r="E6" s="234">
        <f>611.213/10^5</f>
        <v>6.1121299999999995E-3</v>
      </c>
      <c r="F6" s="233">
        <v>999.9</v>
      </c>
      <c r="G6" s="235">
        <v>4.226</v>
      </c>
      <c r="H6" s="236">
        <f>+D6/G6</f>
        <v>591.68859441552297</v>
      </c>
      <c r="I6" s="233">
        <f>18*(E6*10^5*1)/(8.314*C6+273.15)</f>
        <v>40.27762767710049</v>
      </c>
      <c r="J6" s="233">
        <f>1000/I6</f>
        <v>24.827678730655272</v>
      </c>
      <c r="K6" s="232">
        <v>334.5</v>
      </c>
      <c r="L6" s="233">
        <f>+K6/G6</f>
        <v>79.152863227638434</v>
      </c>
    </row>
    <row r="7" spans="3:12" x14ac:dyDescent="0.25">
      <c r="C7" s="232">
        <v>25</v>
      </c>
      <c r="D7" s="233">
        <v>2442.277</v>
      </c>
      <c r="E7" s="234">
        <f>3168.74/10^5</f>
        <v>3.1687399999999998E-2</v>
      </c>
      <c r="F7" s="233">
        <v>997.1</v>
      </c>
      <c r="G7" s="235">
        <v>4.1779999999999999</v>
      </c>
      <c r="H7" s="236">
        <f t="shared" ref="H7:H10" si="0">+D7/G7</f>
        <v>584.55648635710872</v>
      </c>
      <c r="I7" s="233">
        <f t="shared" ref="I7:I10" si="1">18*(E7*10^5*1)/(8.314*C7+273.15)</f>
        <v>118.58070686070684</v>
      </c>
      <c r="J7" s="233">
        <f t="shared" ref="J7:J10" si="2">1000/I7</f>
        <v>8.4330750463030189</v>
      </c>
      <c r="K7" s="237"/>
      <c r="L7" s="237"/>
    </row>
    <row r="8" spans="3:12" x14ac:dyDescent="0.25">
      <c r="C8" s="232">
        <v>50</v>
      </c>
      <c r="D8" s="233">
        <v>2382.4029999999998</v>
      </c>
      <c r="E8" s="234">
        <f>12344.78/10^5</f>
        <v>0.12344780000000001</v>
      </c>
      <c r="F8" s="233">
        <v>988.1</v>
      </c>
      <c r="G8" s="235">
        <v>4.1779999999999999</v>
      </c>
      <c r="H8" s="236">
        <f t="shared" si="0"/>
        <v>570.22570607946386</v>
      </c>
      <c r="I8" s="233">
        <f t="shared" si="1"/>
        <v>322.57536473833204</v>
      </c>
      <c r="J8" s="233">
        <f t="shared" si="2"/>
        <v>3.100050745695301</v>
      </c>
      <c r="K8" s="237"/>
      <c r="L8" s="237"/>
    </row>
    <row r="9" spans="3:12" x14ac:dyDescent="0.25">
      <c r="C9" s="232">
        <v>75</v>
      </c>
      <c r="D9" s="233">
        <v>2321.2730000000001</v>
      </c>
      <c r="E9" s="234">
        <f>38564.59/10^5</f>
        <v>0.38564589999999999</v>
      </c>
      <c r="F9" s="233">
        <v>974.9</v>
      </c>
      <c r="G9" s="235">
        <v>4.1900000000000004</v>
      </c>
      <c r="H9" s="236">
        <f t="shared" si="0"/>
        <v>554.00310262529831</v>
      </c>
      <c r="I9" s="233">
        <f t="shared" si="1"/>
        <v>774.13027768484437</v>
      </c>
      <c r="J9" s="233">
        <f t="shared" si="2"/>
        <v>1.2917722363096995</v>
      </c>
      <c r="K9" s="237"/>
      <c r="L9" s="237"/>
    </row>
    <row r="10" spans="3:12" x14ac:dyDescent="0.25">
      <c r="C10" s="232">
        <v>100</v>
      </c>
      <c r="D10" s="233">
        <v>2256.3739999999998</v>
      </c>
      <c r="E10" s="234">
        <f>101325/10^5</f>
        <v>1.01325</v>
      </c>
      <c r="F10" s="233">
        <v>958.4</v>
      </c>
      <c r="G10" s="235">
        <v>4.2110000000000003</v>
      </c>
      <c r="H10" s="236">
        <f t="shared" si="0"/>
        <v>535.82854428876738</v>
      </c>
      <c r="I10" s="233">
        <f t="shared" si="1"/>
        <v>1651.2154270970079</v>
      </c>
      <c r="J10" s="233">
        <f t="shared" si="2"/>
        <v>0.6056144968062066</v>
      </c>
      <c r="K10" s="237"/>
      <c r="L10" s="237"/>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6"/>
  <sheetViews>
    <sheetView zoomScale="85" zoomScaleNormal="85" workbookViewId="0">
      <selection activeCell="D13" sqref="D13"/>
    </sheetView>
  </sheetViews>
  <sheetFormatPr defaultRowHeight="15" x14ac:dyDescent="0.25"/>
  <cols>
    <col min="2" max="2" width="16.42578125" bestFit="1" customWidth="1"/>
    <col min="4" max="4" width="29.42578125" bestFit="1" customWidth="1"/>
    <col min="5" max="5" width="17" customWidth="1"/>
    <col min="6" max="6" width="12" bestFit="1" customWidth="1"/>
    <col min="7" max="7" width="10.140625" bestFit="1" customWidth="1"/>
    <col min="8" max="8" width="28" bestFit="1" customWidth="1"/>
    <col min="11" max="11" width="11" bestFit="1" customWidth="1"/>
    <col min="12" max="12" width="28" bestFit="1" customWidth="1"/>
  </cols>
  <sheetData>
    <row r="1" spans="1:23" x14ac:dyDescent="0.25">
      <c r="A1" s="181" t="s">
        <v>311</v>
      </c>
      <c r="B1" s="180"/>
      <c r="C1" s="198" t="s">
        <v>344</v>
      </c>
      <c r="D1" t="s">
        <v>410</v>
      </c>
      <c r="E1" s="183" t="s">
        <v>324</v>
      </c>
      <c r="F1" s="179"/>
      <c r="G1" s="179"/>
      <c r="I1" s="184" t="s">
        <v>325</v>
      </c>
      <c r="J1" s="184"/>
      <c r="K1" s="184"/>
      <c r="M1" s="185" t="s">
        <v>313</v>
      </c>
      <c r="N1" s="185"/>
      <c r="O1" s="185"/>
      <c r="S1" t="s">
        <v>378</v>
      </c>
    </row>
    <row r="2" spans="1:23" ht="17.25" x14ac:dyDescent="0.25">
      <c r="A2" s="182" t="s">
        <v>322</v>
      </c>
      <c r="B2" s="180"/>
      <c r="C2" s="180"/>
      <c r="E2" s="188" t="s">
        <v>346</v>
      </c>
      <c r="F2" s="179">
        <v>8.2299999999999998E-2</v>
      </c>
      <c r="G2" s="179" t="s">
        <v>339</v>
      </c>
      <c r="H2" s="178" t="s">
        <v>363</v>
      </c>
      <c r="I2" s="190" t="s">
        <v>346</v>
      </c>
      <c r="J2" s="184">
        <f>3.671/1000</f>
        <v>3.6709999999999998E-3</v>
      </c>
      <c r="K2" s="184" t="s">
        <v>315</v>
      </c>
      <c r="L2" s="178" t="s">
        <v>363</v>
      </c>
      <c r="M2" s="185" t="s">
        <v>314</v>
      </c>
      <c r="N2" s="185">
        <v>9.81</v>
      </c>
      <c r="O2" s="185" t="s">
        <v>338</v>
      </c>
      <c r="P2" s="178" t="s">
        <v>377</v>
      </c>
      <c r="S2" s="191" t="s">
        <v>379</v>
      </c>
      <c r="T2" s="191" t="s">
        <v>396</v>
      </c>
      <c r="U2" s="191" t="s">
        <v>395</v>
      </c>
      <c r="V2" s="191" t="s">
        <v>397</v>
      </c>
    </row>
    <row r="3" spans="1:23" ht="18" x14ac:dyDescent="0.35">
      <c r="A3" s="180" t="s">
        <v>340</v>
      </c>
      <c r="B3" s="180">
        <f>'Freezing comparison'!B7</f>
        <v>1E-3</v>
      </c>
      <c r="C3" s="180" t="s">
        <v>1</v>
      </c>
      <c r="D3" t="s">
        <v>359</v>
      </c>
      <c r="E3" s="179" t="s">
        <v>343</v>
      </c>
      <c r="F3" s="179">
        <v>0.56899999999999995</v>
      </c>
      <c r="G3" s="179" t="s">
        <v>316</v>
      </c>
      <c r="H3" s="178" t="s">
        <v>362</v>
      </c>
      <c r="I3" s="184" t="s">
        <v>343</v>
      </c>
      <c r="J3" s="184">
        <f>24.54/1000</f>
        <v>2.4539999999999999E-2</v>
      </c>
      <c r="K3" s="184" t="s">
        <v>316</v>
      </c>
      <c r="L3" s="178" t="s">
        <v>362</v>
      </c>
      <c r="M3" s="185"/>
      <c r="N3" s="185"/>
      <c r="O3" s="185"/>
      <c r="S3" s="194" t="s">
        <v>380</v>
      </c>
      <c r="T3" s="192">
        <v>222</v>
      </c>
      <c r="U3" s="192">
        <v>2700</v>
      </c>
      <c r="V3" s="192">
        <v>896</v>
      </c>
    </row>
    <row r="4" spans="1:23" ht="17.25" x14ac:dyDescent="0.25">
      <c r="A4" s="180"/>
      <c r="B4" s="180"/>
      <c r="C4" s="180"/>
      <c r="E4" s="188" t="s">
        <v>347</v>
      </c>
      <c r="F4" s="179">
        <v>999.9</v>
      </c>
      <c r="G4" s="179" t="s">
        <v>354</v>
      </c>
      <c r="H4" s="178" t="s">
        <v>364</v>
      </c>
      <c r="I4" s="190" t="s">
        <v>347</v>
      </c>
      <c r="J4" s="184">
        <v>1.2754000000000001</v>
      </c>
      <c r="K4" s="184" t="s">
        <v>354</v>
      </c>
      <c r="L4" s="178" t="s">
        <v>364</v>
      </c>
      <c r="M4" s="185"/>
      <c r="N4" s="185"/>
      <c r="O4" s="185"/>
      <c r="S4" s="195" t="s">
        <v>398</v>
      </c>
      <c r="T4" s="192">
        <v>165</v>
      </c>
      <c r="U4" s="192">
        <v>2800</v>
      </c>
      <c r="V4" s="192">
        <v>913</v>
      </c>
      <c r="W4" t="s">
        <v>399</v>
      </c>
    </row>
    <row r="5" spans="1:23" ht="18" x14ac:dyDescent="0.35">
      <c r="A5" s="182" t="s">
        <v>337</v>
      </c>
      <c r="B5" s="180"/>
      <c r="C5" s="180"/>
      <c r="E5" s="179" t="s">
        <v>348</v>
      </c>
      <c r="F5" s="179">
        <v>4.2169999999999996</v>
      </c>
      <c r="G5" s="179" t="s">
        <v>317</v>
      </c>
      <c r="H5" s="178" t="s">
        <v>365</v>
      </c>
      <c r="I5" s="184" t="s">
        <v>348</v>
      </c>
      <c r="J5" s="184">
        <v>1.006</v>
      </c>
      <c r="K5" s="184" t="s">
        <v>317</v>
      </c>
      <c r="L5" s="178" t="s">
        <v>365</v>
      </c>
      <c r="M5" s="185"/>
      <c r="N5" s="185"/>
      <c r="O5" s="185"/>
      <c r="S5" s="195" t="s">
        <v>401</v>
      </c>
      <c r="T5" s="192">
        <v>160</v>
      </c>
      <c r="U5" s="192">
        <v>2700</v>
      </c>
      <c r="V5" s="192">
        <v>870</v>
      </c>
      <c r="W5" t="s">
        <v>400</v>
      </c>
    </row>
    <row r="6" spans="1:23" ht="18.75" x14ac:dyDescent="0.35">
      <c r="A6" s="180" t="s">
        <v>345</v>
      </c>
      <c r="B6" s="180">
        <f>'Freezing comparison'!B8</f>
        <v>1E-3</v>
      </c>
      <c r="C6" s="180" t="s">
        <v>1</v>
      </c>
      <c r="D6" t="s">
        <v>359</v>
      </c>
      <c r="E6" s="188" t="s">
        <v>349</v>
      </c>
      <c r="F6" s="189">
        <f>1.792*10^-6</f>
        <v>1.792E-6</v>
      </c>
      <c r="G6" s="179" t="s">
        <v>355</v>
      </c>
      <c r="H6" s="178" t="s">
        <v>366</v>
      </c>
      <c r="I6" s="190" t="s">
        <v>349</v>
      </c>
      <c r="J6" s="184">
        <f>13.41*10^-6</f>
        <v>1.341E-5</v>
      </c>
      <c r="K6" s="184" t="s">
        <v>355</v>
      </c>
      <c r="L6" s="178" t="s">
        <v>366</v>
      </c>
      <c r="M6" s="185"/>
      <c r="N6" s="185"/>
      <c r="O6" s="185"/>
      <c r="S6" s="196" t="s">
        <v>381</v>
      </c>
      <c r="T6" s="192">
        <v>112</v>
      </c>
      <c r="U6" s="192">
        <v>7140</v>
      </c>
      <c r="V6" s="192">
        <v>385</v>
      </c>
    </row>
    <row r="7" spans="1:23" ht="18" x14ac:dyDescent="0.35">
      <c r="A7" s="180" t="s">
        <v>341</v>
      </c>
      <c r="B7" s="180">
        <f>'Freezing comparison'!B9</f>
        <v>100</v>
      </c>
      <c r="C7" s="180" t="s">
        <v>330</v>
      </c>
      <c r="D7" t="s">
        <v>360</v>
      </c>
      <c r="E7" s="179" t="s">
        <v>318</v>
      </c>
      <c r="F7" s="179">
        <v>13.44</v>
      </c>
      <c r="G7" s="179" t="s">
        <v>320</v>
      </c>
      <c r="H7" s="178" t="s">
        <v>367</v>
      </c>
      <c r="I7" s="184" t="s">
        <v>318</v>
      </c>
      <c r="J7" s="184">
        <v>0.71</v>
      </c>
      <c r="K7" s="184" t="s">
        <v>320</v>
      </c>
      <c r="L7" s="178" t="s">
        <v>367</v>
      </c>
      <c r="M7" s="185"/>
      <c r="N7" s="185"/>
      <c r="O7" s="185"/>
      <c r="S7" s="196" t="s">
        <v>382</v>
      </c>
      <c r="T7" s="192">
        <v>418</v>
      </c>
      <c r="U7" s="192">
        <v>10500</v>
      </c>
      <c r="V7" s="192">
        <v>234</v>
      </c>
    </row>
    <row r="8" spans="1:23" ht="17.25" x14ac:dyDescent="0.25">
      <c r="A8" s="180" t="s">
        <v>329</v>
      </c>
      <c r="B8" s="187">
        <f>B6*PI()</f>
        <v>3.1415926535897933E-3</v>
      </c>
      <c r="C8" s="180" t="s">
        <v>1</v>
      </c>
      <c r="D8" t="s">
        <v>302</v>
      </c>
      <c r="E8" s="179" t="s">
        <v>319</v>
      </c>
      <c r="F8" s="189">
        <f>F6/F7</f>
        <v>1.3333333333333334E-7</v>
      </c>
      <c r="G8" s="179" t="s">
        <v>355</v>
      </c>
      <c r="H8" s="178" t="s">
        <v>368</v>
      </c>
      <c r="I8" s="184" t="s">
        <v>319</v>
      </c>
      <c r="J8" s="184">
        <f>J6/J7</f>
        <v>1.8887323943661972E-5</v>
      </c>
      <c r="K8" s="184" t="s">
        <v>355</v>
      </c>
      <c r="L8" s="178" t="s">
        <v>368</v>
      </c>
      <c r="M8" s="185"/>
      <c r="N8" s="185"/>
      <c r="O8" s="185"/>
      <c r="S8" s="196" t="s">
        <v>383</v>
      </c>
      <c r="T8" s="192">
        <v>86</v>
      </c>
      <c r="U8" s="192">
        <v>7100</v>
      </c>
      <c r="V8" s="192">
        <v>440</v>
      </c>
    </row>
    <row r="9" spans="1:23" ht="18.75" x14ac:dyDescent="0.35">
      <c r="A9" s="180" t="s">
        <v>5</v>
      </c>
      <c r="B9" s="187">
        <f>B6^2*PI()/4</f>
        <v>7.8539816339744823E-7</v>
      </c>
      <c r="C9" s="180" t="s">
        <v>342</v>
      </c>
      <c r="D9" t="s">
        <v>361</v>
      </c>
      <c r="E9" s="179" t="s">
        <v>350</v>
      </c>
      <c r="F9" s="179">
        <v>0.499</v>
      </c>
      <c r="G9" s="179" t="s">
        <v>326</v>
      </c>
      <c r="H9" s="178" t="s">
        <v>369</v>
      </c>
      <c r="I9" s="184" t="s">
        <v>358</v>
      </c>
      <c r="J9" s="184">
        <v>-10</v>
      </c>
      <c r="K9" s="184" t="s">
        <v>326</v>
      </c>
      <c r="L9" s="178" t="s">
        <v>375</v>
      </c>
      <c r="M9" s="185"/>
      <c r="N9" s="185"/>
      <c r="O9" s="185"/>
      <c r="S9" s="196" t="s">
        <v>384</v>
      </c>
      <c r="T9" s="192">
        <v>171</v>
      </c>
      <c r="U9" s="192">
        <v>1740</v>
      </c>
      <c r="V9" s="192">
        <v>1010</v>
      </c>
    </row>
    <row r="10" spans="1:23" ht="18" x14ac:dyDescent="0.35">
      <c r="A10" s="186" t="s">
        <v>343</v>
      </c>
      <c r="B10" s="180">
        <f>+VLOOKUP('Freezing comparison'!B6,S3:T23,2,FALSE)</f>
        <v>386</v>
      </c>
      <c r="C10" s="180" t="s">
        <v>316</v>
      </c>
      <c r="D10" t="s">
        <v>362</v>
      </c>
      <c r="E10" s="179" t="s">
        <v>351</v>
      </c>
      <c r="F10" s="179">
        <v>0.5</v>
      </c>
      <c r="G10" s="179" t="s">
        <v>326</v>
      </c>
      <c r="H10" s="178" t="s">
        <v>370</v>
      </c>
      <c r="I10" s="184" t="s">
        <v>357</v>
      </c>
      <c r="J10" s="184">
        <v>5</v>
      </c>
      <c r="K10" s="184" t="s">
        <v>327</v>
      </c>
      <c r="L10" s="178" t="s">
        <v>376</v>
      </c>
      <c r="M10" s="185"/>
      <c r="N10" s="185"/>
      <c r="O10" s="185"/>
      <c r="S10" s="196" t="s">
        <v>385</v>
      </c>
      <c r="T10" s="192">
        <v>90</v>
      </c>
      <c r="U10" s="192">
        <v>8900</v>
      </c>
      <c r="V10" s="192">
        <v>444</v>
      </c>
    </row>
    <row r="11" spans="1:23" x14ac:dyDescent="0.25">
      <c r="A11" s="180" t="s">
        <v>332</v>
      </c>
      <c r="B11" s="180">
        <f>'Freezing comparison'!B10</f>
        <v>10</v>
      </c>
      <c r="C11" s="180" t="s">
        <v>1</v>
      </c>
      <c r="D11" t="s">
        <v>301</v>
      </c>
      <c r="E11" s="179" t="s">
        <v>331</v>
      </c>
      <c r="F11" s="179">
        <f>'Freezing comparison'!B1</f>
        <v>2</v>
      </c>
      <c r="G11" s="179" t="s">
        <v>1</v>
      </c>
      <c r="H11" s="178" t="s">
        <v>371</v>
      </c>
      <c r="I11" s="184"/>
      <c r="J11" s="184"/>
      <c r="K11" s="184"/>
      <c r="M11" s="185"/>
      <c r="N11" s="185"/>
      <c r="O11" s="185"/>
      <c r="S11" s="196" t="s">
        <v>386</v>
      </c>
      <c r="T11" s="192">
        <v>35</v>
      </c>
      <c r="U11" s="192">
        <v>11340</v>
      </c>
      <c r="V11" s="192">
        <v>130</v>
      </c>
    </row>
    <row r="12" spans="1:23" ht="17.25" x14ac:dyDescent="0.25">
      <c r="A12" s="180"/>
      <c r="B12" s="180"/>
      <c r="C12" s="180"/>
      <c r="E12" s="179" t="s">
        <v>5</v>
      </c>
      <c r="F12" s="189">
        <f>'Freezing comparison'!B2</f>
        <v>1000</v>
      </c>
      <c r="G12" s="179" t="s">
        <v>356</v>
      </c>
      <c r="H12" s="178" t="s">
        <v>372</v>
      </c>
      <c r="I12" s="184"/>
      <c r="J12" s="184"/>
      <c r="K12" s="184"/>
      <c r="M12" s="185"/>
      <c r="N12" s="185"/>
      <c r="O12" s="185"/>
      <c r="S12" s="196" t="s">
        <v>387</v>
      </c>
      <c r="T12" s="192">
        <v>64</v>
      </c>
      <c r="U12" s="192">
        <v>7280</v>
      </c>
      <c r="V12" s="192">
        <v>227</v>
      </c>
    </row>
    <row r="13" spans="1:23" ht="18" x14ac:dyDescent="0.35">
      <c r="A13" s="180"/>
      <c r="B13" s="180"/>
      <c r="C13" s="180"/>
      <c r="E13" s="179" t="s">
        <v>352</v>
      </c>
      <c r="F13" s="179">
        <v>-1.8</v>
      </c>
      <c r="G13" s="179" t="s">
        <v>326</v>
      </c>
      <c r="H13" s="178" t="s">
        <v>373</v>
      </c>
      <c r="I13" s="184"/>
      <c r="J13" s="184"/>
      <c r="K13" s="184"/>
      <c r="M13" s="185"/>
      <c r="N13" s="185"/>
      <c r="O13" s="185"/>
      <c r="S13" s="196" t="s">
        <v>388</v>
      </c>
      <c r="T13" s="192">
        <v>386</v>
      </c>
      <c r="U13" s="192">
        <v>8900</v>
      </c>
      <c r="V13" s="192">
        <v>385</v>
      </c>
    </row>
    <row r="14" spans="1:23" ht="18" x14ac:dyDescent="0.35">
      <c r="A14" s="180"/>
      <c r="B14" s="180"/>
      <c r="C14" s="180"/>
      <c r="E14" s="179" t="s">
        <v>353</v>
      </c>
      <c r="F14" s="179">
        <v>334500</v>
      </c>
      <c r="G14" s="179" t="s">
        <v>335</v>
      </c>
      <c r="H14" s="178" t="s">
        <v>374</v>
      </c>
      <c r="I14" s="184"/>
      <c r="J14" s="184"/>
      <c r="K14" s="184"/>
      <c r="M14" s="185"/>
      <c r="N14" s="185"/>
      <c r="O14" s="185"/>
      <c r="S14" s="196" t="s">
        <v>389</v>
      </c>
      <c r="T14" s="192">
        <v>110</v>
      </c>
      <c r="U14" s="192">
        <v>8520</v>
      </c>
      <c r="V14" s="192">
        <v>385</v>
      </c>
    </row>
    <row r="15" spans="1:23" x14ac:dyDescent="0.25">
      <c r="S15" s="195" t="s">
        <v>402</v>
      </c>
      <c r="T15" s="192">
        <v>61</v>
      </c>
      <c r="U15" s="192">
        <v>8700</v>
      </c>
      <c r="V15" s="192">
        <v>385</v>
      </c>
      <c r="W15" t="s">
        <v>403</v>
      </c>
    </row>
    <row r="16" spans="1:23" x14ac:dyDescent="0.25">
      <c r="S16" s="196" t="s">
        <v>390</v>
      </c>
      <c r="T16" s="192">
        <v>22.5</v>
      </c>
      <c r="U16" s="192">
        <v>8900</v>
      </c>
      <c r="V16" s="192">
        <v>410</v>
      </c>
    </row>
    <row r="17" spans="1:23" ht="15.75" thickBot="1" x14ac:dyDescent="0.3">
      <c r="S17" s="196" t="s">
        <v>391</v>
      </c>
      <c r="T17" s="192">
        <v>54.5</v>
      </c>
      <c r="U17" s="192">
        <v>16600</v>
      </c>
      <c r="V17" s="192">
        <v>151</v>
      </c>
    </row>
    <row r="18" spans="1:23" ht="30" customHeight="1" x14ac:dyDescent="0.3">
      <c r="A18" s="215" t="s">
        <v>411</v>
      </c>
      <c r="B18" s="199"/>
      <c r="C18" s="199"/>
      <c r="D18" s="199"/>
      <c r="E18" s="200"/>
      <c r="S18" s="196" t="s">
        <v>392</v>
      </c>
      <c r="T18" s="192">
        <v>73</v>
      </c>
      <c r="U18" s="192">
        <v>7860</v>
      </c>
      <c r="V18" s="192">
        <v>452</v>
      </c>
    </row>
    <row r="19" spans="1:23" ht="15" customHeight="1" x14ac:dyDescent="0.25">
      <c r="A19" s="201"/>
      <c r="B19" s="202"/>
      <c r="C19" s="202"/>
      <c r="D19" s="202"/>
      <c r="E19" s="203"/>
      <c r="S19" s="196" t="s">
        <v>393</v>
      </c>
      <c r="T19" s="192">
        <v>52</v>
      </c>
      <c r="U19" s="192">
        <v>7200</v>
      </c>
      <c r="V19" s="192">
        <v>545</v>
      </c>
    </row>
    <row r="20" spans="1:23" ht="15" customHeight="1" x14ac:dyDescent="0.25">
      <c r="A20" s="204" t="s">
        <v>323</v>
      </c>
      <c r="B20" s="202"/>
      <c r="C20" s="202"/>
      <c r="D20" s="202"/>
      <c r="E20" s="203"/>
      <c r="S20" s="195" t="s">
        <v>404</v>
      </c>
      <c r="T20" s="192">
        <v>46</v>
      </c>
      <c r="U20" s="192">
        <v>7800</v>
      </c>
      <c r="V20" s="192">
        <v>473</v>
      </c>
      <c r="W20" t="s">
        <v>405</v>
      </c>
    </row>
    <row r="21" spans="1:23" ht="15" customHeight="1" x14ac:dyDescent="0.25">
      <c r="A21" s="201" t="s">
        <v>328</v>
      </c>
      <c r="B21" s="205">
        <f>J10*B6/J6</f>
        <v>372.85607755406414</v>
      </c>
      <c r="C21" s="202" t="s">
        <v>320</v>
      </c>
      <c r="D21" s="202" t="s">
        <v>412</v>
      </c>
      <c r="E21" s="203"/>
      <c r="S21" s="195" t="s">
        <v>406</v>
      </c>
      <c r="T21" s="192">
        <v>16.3</v>
      </c>
      <c r="U21" s="192">
        <v>7810</v>
      </c>
      <c r="V21" s="192">
        <v>480</v>
      </c>
      <c r="W21" t="s">
        <v>407</v>
      </c>
    </row>
    <row r="22" spans="1:23" x14ac:dyDescent="0.25">
      <c r="A22" s="201" t="s">
        <v>321</v>
      </c>
      <c r="B22" s="205">
        <f>0.3+0.62*B21^0.5*J7^0.33/(1+(0.4/J7)^(2/3))^0.25*(1+(B21/2.82*10^-5)^(5/8))^0.8</f>
        <v>9.807930493475963</v>
      </c>
      <c r="C22" s="202" t="s">
        <v>320</v>
      </c>
      <c r="D22" s="202" t="s">
        <v>413</v>
      </c>
      <c r="E22" s="203"/>
      <c r="S22" s="195" t="s">
        <v>408</v>
      </c>
      <c r="T22" s="192">
        <v>12</v>
      </c>
      <c r="U22" s="192">
        <v>8130</v>
      </c>
      <c r="V22" s="192">
        <v>500</v>
      </c>
      <c r="W22" t="s">
        <v>409</v>
      </c>
    </row>
    <row r="23" spans="1:23" ht="17.25" x14ac:dyDescent="0.25">
      <c r="A23" s="206" t="s">
        <v>419</v>
      </c>
      <c r="B23" s="205">
        <f>B22*J3/B6</f>
        <v>240.68661430990011</v>
      </c>
      <c r="C23" s="202" t="s">
        <v>415</v>
      </c>
      <c r="D23" s="202" t="s">
        <v>414</v>
      </c>
      <c r="E23" s="203"/>
      <c r="S23" s="197" t="s">
        <v>394</v>
      </c>
      <c r="T23" s="193">
        <v>163</v>
      </c>
      <c r="U23" s="193">
        <v>19300</v>
      </c>
      <c r="V23" s="193">
        <v>134</v>
      </c>
    </row>
    <row r="24" spans="1:23" x14ac:dyDescent="0.25">
      <c r="A24" s="201"/>
      <c r="B24" s="205"/>
      <c r="C24" s="202"/>
      <c r="D24" s="202"/>
      <c r="E24" s="203"/>
    </row>
    <row r="25" spans="1:23" ht="15" customHeight="1" x14ac:dyDescent="0.25">
      <c r="A25" s="201" t="s">
        <v>1</v>
      </c>
      <c r="B25" s="205">
        <f>SQRT(B23*B8/B10/B9)</f>
        <v>49.941583938840076</v>
      </c>
      <c r="C25" s="202" t="s">
        <v>320</v>
      </c>
      <c r="D25" s="202" t="s">
        <v>416</v>
      </c>
      <c r="E25" s="203"/>
    </row>
    <row r="26" spans="1:23" x14ac:dyDescent="0.25">
      <c r="A26" s="201" t="s">
        <v>5</v>
      </c>
      <c r="B26" s="205">
        <f>SQRT(B23*B9*B8*B10)</f>
        <v>1.5140474924851653E-2</v>
      </c>
      <c r="C26" s="202"/>
      <c r="D26" s="202" t="s">
        <v>417</v>
      </c>
      <c r="E26" s="203"/>
    </row>
    <row r="27" spans="1:23" x14ac:dyDescent="0.25">
      <c r="A27" s="201" t="s">
        <v>333</v>
      </c>
      <c r="B27" s="205">
        <f>(SINH(B25*B11)+(B23/B10/B25)*COSH(B25*B11))/(COSH(B25*B11)+(B23/B10/B25)*SINH(B25*B11))</f>
        <v>1</v>
      </c>
      <c r="C27" s="202"/>
      <c r="D27" s="202" t="s">
        <v>418</v>
      </c>
      <c r="E27" s="203"/>
    </row>
    <row r="28" spans="1:23" x14ac:dyDescent="0.25">
      <c r="A28" s="201"/>
      <c r="B28" s="205"/>
      <c r="C28" s="202"/>
      <c r="D28" s="202"/>
      <c r="E28" s="203"/>
    </row>
    <row r="29" spans="1:23" ht="18" x14ac:dyDescent="0.35">
      <c r="A29" s="201" t="s">
        <v>432</v>
      </c>
      <c r="B29" s="207">
        <f>F5*1000*F11*F12*F4*(F10-F13)</f>
        <v>19396260180</v>
      </c>
      <c r="C29" s="202" t="s">
        <v>434</v>
      </c>
      <c r="D29" s="216" t="s">
        <v>430</v>
      </c>
      <c r="E29" s="203"/>
    </row>
    <row r="30" spans="1:23" ht="18" x14ac:dyDescent="0.35">
      <c r="A30" s="201" t="s">
        <v>420</v>
      </c>
      <c r="B30" s="207">
        <f>1/(B7*B26*B27)*F5*1000*F11*F12*F4*LN((F10-J9)/(F13-J9))</f>
        <v>1377118583.799042</v>
      </c>
      <c r="C30" s="202" t="s">
        <v>334</v>
      </c>
      <c r="D30" s="202" t="s">
        <v>426</v>
      </c>
      <c r="E30" s="203"/>
    </row>
    <row r="31" spans="1:23" ht="18" x14ac:dyDescent="0.35">
      <c r="A31" s="201" t="s">
        <v>433</v>
      </c>
      <c r="B31" s="207">
        <f>F11*F12*F4*F14</f>
        <v>668933100000</v>
      </c>
      <c r="C31" s="202" t="s">
        <v>434</v>
      </c>
      <c r="D31" s="216" t="s">
        <v>431</v>
      </c>
      <c r="E31" s="203"/>
    </row>
    <row r="32" spans="1:23" ht="15" customHeight="1" x14ac:dyDescent="0.35">
      <c r="A32" s="201" t="s">
        <v>421</v>
      </c>
      <c r="B32" s="207">
        <f>F12*F11*F4*F14/B7/B26/B27/(F13-J9)</f>
        <v>53880216916.559158</v>
      </c>
      <c r="C32" s="202" t="s">
        <v>334</v>
      </c>
      <c r="D32" s="202" t="s">
        <v>427</v>
      </c>
      <c r="E32" s="203"/>
    </row>
    <row r="33" spans="1:5" ht="15" customHeight="1" x14ac:dyDescent="0.35">
      <c r="A33" s="201" t="s">
        <v>435</v>
      </c>
      <c r="B33" s="207">
        <f>(B29+B31)/10^6</f>
        <v>688329.36017999996</v>
      </c>
      <c r="C33" s="216" t="s">
        <v>191</v>
      </c>
      <c r="D33" s="216" t="s">
        <v>436</v>
      </c>
      <c r="E33" s="203"/>
    </row>
    <row r="34" spans="1:5" ht="15" customHeight="1" x14ac:dyDescent="0.35">
      <c r="A34" s="208" t="s">
        <v>422</v>
      </c>
      <c r="B34" s="209">
        <f>B30+B32</f>
        <v>55257335500.3582</v>
      </c>
      <c r="C34" s="210" t="s">
        <v>334</v>
      </c>
      <c r="D34" s="202" t="s">
        <v>428</v>
      </c>
      <c r="E34" s="203"/>
    </row>
    <row r="35" spans="1:5" ht="15" customHeight="1" x14ac:dyDescent="0.25">
      <c r="A35" s="208"/>
      <c r="B35" s="209">
        <f>B34/87600</f>
        <v>630791.50114564155</v>
      </c>
      <c r="C35" s="210" t="s">
        <v>336</v>
      </c>
      <c r="D35" s="202"/>
      <c r="E35" s="203"/>
    </row>
    <row r="36" spans="1:5" x14ac:dyDescent="0.25">
      <c r="A36" s="201"/>
      <c r="B36" s="202"/>
      <c r="C36" s="202"/>
      <c r="D36" s="202"/>
      <c r="E36" s="203"/>
    </row>
    <row r="37" spans="1:5" x14ac:dyDescent="0.25">
      <c r="A37" s="204" t="s">
        <v>322</v>
      </c>
      <c r="B37" s="202"/>
      <c r="C37" s="202"/>
      <c r="D37" s="202"/>
      <c r="E37" s="203"/>
    </row>
    <row r="38" spans="1:5" x14ac:dyDescent="0.25">
      <c r="A38" s="201" t="s">
        <v>312</v>
      </c>
      <c r="B38" s="205">
        <f>N2*B3^3*F2*(F10-F9)/F6/F8</f>
        <v>3.3790304129464319</v>
      </c>
      <c r="C38" s="202"/>
      <c r="D38" s="202" t="s">
        <v>423</v>
      </c>
      <c r="E38" s="203"/>
    </row>
    <row r="39" spans="1:5" ht="15" customHeight="1" x14ac:dyDescent="0.25">
      <c r="A39" s="201" t="s">
        <v>321</v>
      </c>
      <c r="B39" s="205">
        <f>(0.6+0.387*B38^(1/6)/(1+0.721/F7^(9/16))^4/9)^2</f>
        <v>0.39486320101970207</v>
      </c>
      <c r="C39" s="202"/>
      <c r="D39" s="202" t="s">
        <v>413</v>
      </c>
      <c r="E39" s="203"/>
    </row>
    <row r="40" spans="1:5" ht="15" customHeight="1" x14ac:dyDescent="0.25">
      <c r="A40" s="206" t="s">
        <v>419</v>
      </c>
      <c r="B40" s="205">
        <f>B39*F3/B3</f>
        <v>224.67716138021046</v>
      </c>
      <c r="C40" s="202" t="s">
        <v>415</v>
      </c>
      <c r="D40" s="202" t="s">
        <v>414</v>
      </c>
      <c r="E40" s="203"/>
    </row>
    <row r="41" spans="1:5" ht="15" customHeight="1" x14ac:dyDescent="0.25">
      <c r="A41" s="201"/>
      <c r="B41" s="205"/>
      <c r="C41" s="202"/>
      <c r="D41" s="202"/>
      <c r="E41" s="203"/>
    </row>
    <row r="42" spans="1:5" ht="18.75" x14ac:dyDescent="0.35">
      <c r="A42" s="208" t="s">
        <v>424</v>
      </c>
      <c r="B42" s="211">
        <f>B26*B27*(F10-J9)/B40/(F10-F9)</f>
        <v>0.70757074610674997</v>
      </c>
      <c r="C42" s="210" t="s">
        <v>342</v>
      </c>
      <c r="D42" s="202" t="s">
        <v>429</v>
      </c>
      <c r="E42" s="203"/>
    </row>
    <row r="43" spans="1:5" x14ac:dyDescent="0.25">
      <c r="A43" s="201"/>
      <c r="B43" s="202"/>
      <c r="C43" s="202"/>
      <c r="D43" s="202"/>
      <c r="E43" s="203"/>
    </row>
    <row r="44" spans="1:5" x14ac:dyDescent="0.25">
      <c r="A44" s="201"/>
      <c r="B44" s="202"/>
      <c r="C44" s="202"/>
      <c r="D44" s="202"/>
      <c r="E44" s="203"/>
    </row>
    <row r="45" spans="1:5" ht="15.75" thickBot="1" x14ac:dyDescent="0.3">
      <c r="A45" s="212" t="s">
        <v>425</v>
      </c>
      <c r="B45" s="213">
        <v>1</v>
      </c>
      <c r="C45" s="213"/>
      <c r="D45" s="213" t="s">
        <v>437</v>
      </c>
      <c r="E45" s="214"/>
    </row>
    <row r="49" spans="1:1" x14ac:dyDescent="0.25">
      <c r="A49" s="3" t="s">
        <v>438</v>
      </c>
    </row>
    <row r="50" spans="1:1" x14ac:dyDescent="0.25">
      <c r="A50" t="s">
        <v>439</v>
      </c>
    </row>
    <row r="51" spans="1:1" x14ac:dyDescent="0.25">
      <c r="A51" t="s">
        <v>440</v>
      </c>
    </row>
    <row r="52" spans="1:1" x14ac:dyDescent="0.25">
      <c r="A52" t="s">
        <v>441</v>
      </c>
    </row>
    <row r="53" spans="1:1" x14ac:dyDescent="0.25">
      <c r="A53" t="s">
        <v>442</v>
      </c>
    </row>
    <row r="54" spans="1:1" x14ac:dyDescent="0.25">
      <c r="A54" t="s">
        <v>443</v>
      </c>
    </row>
    <row r="55" spans="1:1" x14ac:dyDescent="0.25">
      <c r="A55" t="s">
        <v>444</v>
      </c>
    </row>
    <row r="56" spans="1:1" x14ac:dyDescent="0.25">
      <c r="A56" t="s">
        <v>445</v>
      </c>
    </row>
  </sheetData>
  <dataValidations count="1">
    <dataValidation type="list" allowBlank="1" showInputMessage="1" showErrorMessage="1" sqref="C1">
      <formula1>$S$3:$S$23</formula1>
    </dataValidation>
  </dataValidations>
  <pageMargins left="0.7" right="0.7" top="0.75" bottom="0.75" header="0.3" footer="0.3"/>
  <pageSetup paperSize="9" orientation="portrait" horizontalDpi="4294967293"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workbookViewId="0">
      <selection activeCell="I11" sqref="I11"/>
    </sheetView>
  </sheetViews>
  <sheetFormatPr defaultRowHeight="15" x14ac:dyDescent="0.25"/>
  <cols>
    <col min="1" max="1" width="11.5703125" customWidth="1"/>
    <col min="2" max="2" width="17.85546875" customWidth="1"/>
    <col min="4" max="4" width="24.28515625" bestFit="1" customWidth="1"/>
  </cols>
  <sheetData>
    <row r="1" spans="1:9" ht="18" x14ac:dyDescent="0.35">
      <c r="A1" s="221" t="s">
        <v>446</v>
      </c>
      <c r="B1" s="219"/>
      <c r="C1" s="219"/>
      <c r="F1" s="179" t="s">
        <v>348</v>
      </c>
      <c r="G1" s="179">
        <v>2.09</v>
      </c>
      <c r="H1" s="179" t="s">
        <v>317</v>
      </c>
      <c r="I1" t="s">
        <v>499</v>
      </c>
    </row>
    <row r="2" spans="1:9" ht="18" x14ac:dyDescent="0.35">
      <c r="A2" s="219" t="s">
        <v>464</v>
      </c>
      <c r="B2" s="219">
        <v>40</v>
      </c>
      <c r="C2" s="219" t="s">
        <v>448</v>
      </c>
      <c r="D2" t="s">
        <v>465</v>
      </c>
    </row>
    <row r="3" spans="1:9" ht="18" x14ac:dyDescent="0.35">
      <c r="A3" s="219" t="s">
        <v>447</v>
      </c>
      <c r="B3" s="219">
        <v>22.5</v>
      </c>
      <c r="C3" s="219" t="s">
        <v>448</v>
      </c>
      <c r="D3" t="s">
        <v>450</v>
      </c>
    </row>
    <row r="4" spans="1:9" ht="18" x14ac:dyDescent="0.35">
      <c r="A4" s="219" t="s">
        <v>449</v>
      </c>
      <c r="B4" s="219">
        <v>3.75</v>
      </c>
      <c r="C4" s="219" t="s">
        <v>448</v>
      </c>
      <c r="D4" t="s">
        <v>451</v>
      </c>
    </row>
    <row r="5" spans="1:9" ht="18" x14ac:dyDescent="0.35">
      <c r="A5" s="219" t="s">
        <v>452</v>
      </c>
      <c r="B5" s="219">
        <v>0.12</v>
      </c>
      <c r="C5" s="219" t="s">
        <v>448</v>
      </c>
      <c r="D5" t="s">
        <v>453</v>
      </c>
    </row>
    <row r="6" spans="1:9" ht="18" x14ac:dyDescent="0.35">
      <c r="A6" s="219" t="s">
        <v>457</v>
      </c>
      <c r="B6" s="220">
        <f>4.5/3600*1000</f>
        <v>1.25</v>
      </c>
      <c r="C6" s="219" t="s">
        <v>454</v>
      </c>
      <c r="D6" t="s">
        <v>455</v>
      </c>
    </row>
    <row r="9" spans="1:9" x14ac:dyDescent="0.25">
      <c r="A9" s="222" t="s">
        <v>456</v>
      </c>
    </row>
    <row r="10" spans="1:9" ht="15.75" thickBot="1" x14ac:dyDescent="0.3"/>
    <row r="11" spans="1:9" ht="18" x14ac:dyDescent="0.35">
      <c r="A11" s="217" t="s">
        <v>458</v>
      </c>
      <c r="B11" s="218">
        <f>Hűtőborda!B29/1000</f>
        <v>19396260.18</v>
      </c>
      <c r="C11" s="199" t="s">
        <v>460</v>
      </c>
      <c r="D11" s="199" t="s">
        <v>466</v>
      </c>
      <c r="E11" s="199"/>
      <c r="F11" s="199"/>
      <c r="G11" s="200"/>
    </row>
    <row r="12" spans="1:9" ht="18" x14ac:dyDescent="0.35">
      <c r="A12" s="201" t="s">
        <v>459</v>
      </c>
      <c r="B12" s="205">
        <f>Hűtőborda!B31/1000</f>
        <v>668933100</v>
      </c>
      <c r="C12" s="202" t="s">
        <v>460</v>
      </c>
      <c r="D12" s="202" t="s">
        <v>467</v>
      </c>
      <c r="E12" s="202"/>
      <c r="F12" s="202"/>
      <c r="G12" s="203"/>
    </row>
    <row r="13" spans="1:9" ht="18" x14ac:dyDescent="0.35">
      <c r="A13" s="201" t="s">
        <v>461</v>
      </c>
      <c r="B13" s="205">
        <f>SUM(B11:B12)</f>
        <v>688329360.17999995</v>
      </c>
      <c r="C13" s="202" t="s">
        <v>460</v>
      </c>
      <c r="D13" s="202" t="s">
        <v>436</v>
      </c>
      <c r="E13" s="202"/>
      <c r="F13" s="202"/>
      <c r="G13" s="203"/>
    </row>
    <row r="14" spans="1:9" ht="18" x14ac:dyDescent="0.35">
      <c r="A14" s="201" t="s">
        <v>462</v>
      </c>
      <c r="B14" s="205">
        <f>B11/G1/(Hűtőborda!F13-Hűtőborda!J9)</f>
        <v>1131769.1784338898</v>
      </c>
      <c r="C14" s="202" t="s">
        <v>12</v>
      </c>
      <c r="D14" s="202" t="s">
        <v>468</v>
      </c>
      <c r="E14" s="202"/>
      <c r="F14" s="202"/>
      <c r="G14" s="203"/>
    </row>
    <row r="15" spans="1:9" ht="18" x14ac:dyDescent="0.35">
      <c r="A15" s="201" t="s">
        <v>422</v>
      </c>
      <c r="B15" s="205">
        <f>B14/B6</f>
        <v>905415.3427471118</v>
      </c>
      <c r="C15" s="202" t="s">
        <v>334</v>
      </c>
      <c r="D15" s="202" t="s">
        <v>469</v>
      </c>
      <c r="E15" s="202"/>
      <c r="F15" s="202"/>
      <c r="G15" s="203"/>
    </row>
    <row r="16" spans="1:9" x14ac:dyDescent="0.25">
      <c r="A16" s="201"/>
      <c r="B16" s="205">
        <f>B15/3600</f>
        <v>251.50426187419771</v>
      </c>
      <c r="C16" s="202" t="s">
        <v>331</v>
      </c>
      <c r="D16" s="202"/>
      <c r="E16" s="202"/>
      <c r="F16" s="202"/>
      <c r="G16" s="203"/>
    </row>
    <row r="17" spans="1:7" x14ac:dyDescent="0.25">
      <c r="A17" s="201"/>
      <c r="B17" s="202"/>
      <c r="C17" s="202"/>
      <c r="D17" s="202"/>
      <c r="E17" s="202"/>
      <c r="F17" s="202"/>
      <c r="G17" s="203"/>
    </row>
    <row r="18" spans="1:7" ht="18" x14ac:dyDescent="0.35">
      <c r="A18" s="201" t="s">
        <v>463</v>
      </c>
      <c r="B18" s="228">
        <f>(B2+B3+B4+B5)*B15</f>
        <v>60092416.298125811</v>
      </c>
      <c r="C18" s="202" t="s">
        <v>460</v>
      </c>
      <c r="D18" s="202" t="s">
        <v>470</v>
      </c>
      <c r="E18" s="202"/>
      <c r="F18" s="202"/>
      <c r="G18" s="203"/>
    </row>
    <row r="19" spans="1:7" x14ac:dyDescent="0.25">
      <c r="A19" s="201"/>
      <c r="B19" s="202"/>
      <c r="C19" s="202"/>
      <c r="D19" s="202"/>
      <c r="E19" s="202"/>
      <c r="F19" s="202"/>
      <c r="G19" s="203"/>
    </row>
    <row r="20" spans="1:7" ht="15.75" thickBot="1" x14ac:dyDescent="0.3">
      <c r="A20" s="212" t="s">
        <v>425</v>
      </c>
      <c r="B20" s="238">
        <f>B11/B18</f>
        <v>0.32277384360403794</v>
      </c>
      <c r="C20" s="213"/>
      <c r="D20" s="213" t="s">
        <v>471</v>
      </c>
      <c r="E20" s="213"/>
      <c r="F20" s="213"/>
      <c r="G20" s="214"/>
    </row>
    <row r="24" spans="1:7" x14ac:dyDescent="0.25">
      <c r="A24" s="3" t="s">
        <v>438</v>
      </c>
    </row>
    <row r="25" spans="1:7" x14ac:dyDescent="0.25">
      <c r="A25" s="2" t="s">
        <v>480</v>
      </c>
    </row>
    <row r="26" spans="1:7" x14ac:dyDescent="0.25">
      <c r="A26" t="s">
        <v>481</v>
      </c>
    </row>
    <row r="27" spans="1:7" x14ac:dyDescent="0.25">
      <c r="A27" t="s">
        <v>500</v>
      </c>
    </row>
  </sheetData>
  <hyperlinks>
    <hyperlink ref="A25" r:id="rId1"/>
  </hyperlinks>
  <pageMargins left="0.7" right="0.7" top="0.75" bottom="0.75" header="0.3" footer="0.3"/>
  <pageSetup paperSize="9" orientation="portrait" horizontalDpi="4294967293"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12</vt:i4>
      </vt:variant>
    </vt:vector>
  </HeadingPairs>
  <TitlesOfParts>
    <vt:vector size="12" baseType="lpstr">
      <vt:lpstr>Owatep</vt:lpstr>
      <vt:lpstr>Comparison</vt:lpstr>
      <vt:lpstr>Comparison 2</vt:lpstr>
      <vt:lpstr>Radio</vt:lpstr>
      <vt:lpstr>Q</vt:lpstr>
      <vt:lpstr>Links</vt:lpstr>
      <vt:lpstr>Víz</vt:lpstr>
      <vt:lpstr>Hűtőborda</vt:lpstr>
      <vt:lpstr>Hóágyú</vt:lpstr>
      <vt:lpstr>Peltier</vt:lpstr>
      <vt:lpstr>Hűtőkémény</vt:lpstr>
      <vt:lpstr>Freezing comparison</vt:lpstr>
    </vt:vector>
  </TitlesOfParts>
  <Company>Enterprise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 Dana</dc:creator>
  <cp:lastModifiedBy>Y</cp:lastModifiedBy>
  <dcterms:created xsi:type="dcterms:W3CDTF">2014-02-19T18:37:03Z</dcterms:created>
  <dcterms:modified xsi:type="dcterms:W3CDTF">2026-02-23T12:54:25Z</dcterms:modified>
</cp:coreProperties>
</file>